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za\Desktop\"/>
    </mc:Choice>
  </mc:AlternateContent>
  <xr:revisionPtr revIDLastSave="0" documentId="13_ncr:1_{930D23A0-F47D-4289-9187-E6EEA0A1ACDB}" xr6:coauthVersionLast="47" xr6:coauthVersionMax="47" xr10:uidLastSave="{00000000-0000-0000-0000-000000000000}"/>
  <bookViews>
    <workbookView xWindow="-98" yWindow="-98" windowWidth="21795" windowHeight="12975" xr2:uid="{F1D9DEB8-839D-4BE3-B049-4A31C084A0F1}"/>
  </bookViews>
  <sheets>
    <sheet name="COTISATIONS" sheetId="1" r:id="rId1"/>
    <sheet name="BULLETIN" sheetId="2" r:id="rId2"/>
    <sheet name="Simplifié" sheetId="11" r:id="rId3"/>
    <sheet name="HS" sheetId="10" r:id="rId4"/>
    <sheet name="RGDU" sheetId="12" r:id="rId5"/>
    <sheet name="SAISIES" sheetId="4" r:id="rId6"/>
    <sheet name="MALADIE" sheetId="5" r:id="rId7"/>
    <sheet name="DEPART" sheetId="6" r:id="rId8"/>
    <sheet name="ICP" sheetId="7" r:id="rId9"/>
    <sheet name="AN" sheetId="8" r:id="rId10"/>
    <sheet name="Frais pro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26" i="2"/>
  <c r="P27" i="2"/>
  <c r="P28" i="2"/>
  <c r="P29" i="2"/>
  <c r="P30" i="2"/>
  <c r="P31" i="2"/>
  <c r="P32" i="2"/>
  <c r="P33" i="2"/>
  <c r="P34" i="2"/>
  <c r="P35" i="2"/>
  <c r="P24" i="2"/>
  <c r="E21" i="10"/>
  <c r="Q10" i="12"/>
  <c r="Q7" i="12"/>
  <c r="L24" i="12"/>
  <c r="L22" i="12"/>
  <c r="L21" i="12"/>
  <c r="K22" i="12"/>
  <c r="K21" i="12"/>
  <c r="R8" i="12"/>
  <c r="Q11" i="12"/>
  <c r="Q9" i="12"/>
  <c r="Q8" i="12"/>
  <c r="Q6" i="12"/>
  <c r="Q5" i="12"/>
  <c r="Q4" i="12"/>
  <c r="Q3" i="12"/>
  <c r="J15" i="1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79" i="2"/>
  <c r="H51" i="6"/>
  <c r="D13" i="4"/>
  <c r="C14" i="4" s="1"/>
  <c r="D12" i="4"/>
  <c r="C13" i="4" s="1"/>
  <c r="D11" i="4"/>
  <c r="C12" i="4" s="1"/>
  <c r="D10" i="4"/>
  <c r="C11" i="4" s="1"/>
  <c r="D9" i="4"/>
  <c r="C10" i="4" s="1"/>
  <c r="D8" i="4"/>
  <c r="C9" i="4" s="1"/>
  <c r="H37" i="2" l="1"/>
  <c r="H33" i="2"/>
  <c r="H48" i="2"/>
  <c r="E48" i="2"/>
  <c r="Q13" i="12" l="1"/>
  <c r="M21" i="12" s="1"/>
  <c r="N21" i="12" s="1"/>
  <c r="R12" i="12"/>
  <c r="R11" i="12"/>
  <c r="R10" i="12"/>
  <c r="R9" i="12"/>
  <c r="R7" i="12"/>
  <c r="R6" i="12"/>
  <c r="R5" i="12"/>
  <c r="R4" i="12"/>
  <c r="R3" i="12"/>
  <c r="R13" i="12" l="1"/>
  <c r="M22" i="12" s="1"/>
  <c r="N22" i="12" s="1"/>
  <c r="N7" i="12"/>
  <c r="H60" i="2" l="1"/>
  <c r="H59" i="2"/>
  <c r="H58" i="2"/>
  <c r="H57" i="2"/>
  <c r="E20" i="10" l="1"/>
  <c r="K4" i="12" l="1"/>
  <c r="M4" i="12" s="1"/>
  <c r="K5" i="12"/>
  <c r="M5" i="12" s="1"/>
  <c r="K6" i="12"/>
  <c r="M6" i="12" s="1"/>
  <c r="K7" i="12"/>
  <c r="M7" i="12" s="1"/>
  <c r="K8" i="12"/>
  <c r="M8" i="12" s="1"/>
  <c r="K9" i="12"/>
  <c r="M9" i="12" s="1"/>
  <c r="K10" i="12"/>
  <c r="M10" i="12" s="1"/>
  <c r="K11" i="12"/>
  <c r="M11" i="12" s="1"/>
  <c r="K12" i="12"/>
  <c r="M12" i="12" s="1"/>
  <c r="K13" i="12"/>
  <c r="M13" i="12" s="1"/>
  <c r="K14" i="12"/>
  <c r="M14" i="12" s="1"/>
  <c r="D22" i="12" l="1"/>
  <c r="D23" i="12"/>
  <c r="D24" i="12"/>
  <c r="D25" i="12"/>
  <c r="D26" i="12"/>
  <c r="D27" i="12"/>
  <c r="D28" i="12"/>
  <c r="D29" i="12"/>
  <c r="D30" i="12"/>
  <c r="D31" i="12"/>
  <c r="D32" i="12"/>
  <c r="C22" i="12"/>
  <c r="C23" i="12"/>
  <c r="C24" i="12"/>
  <c r="C25" i="12"/>
  <c r="C26" i="12"/>
  <c r="C27" i="12"/>
  <c r="C28" i="12"/>
  <c r="C29" i="12"/>
  <c r="C30" i="12"/>
  <c r="C31" i="12"/>
  <c r="C32" i="12"/>
  <c r="I15" i="12"/>
  <c r="E15" i="12"/>
  <c r="F15" i="12"/>
  <c r="G15" i="12"/>
  <c r="H15" i="12"/>
  <c r="C4" i="12"/>
  <c r="C5" i="12"/>
  <c r="C6" i="12"/>
  <c r="C7" i="12"/>
  <c r="C8" i="12"/>
  <c r="H26" i="12" s="1"/>
  <c r="C9" i="12"/>
  <c r="C10" i="12"/>
  <c r="C11" i="12"/>
  <c r="C12" i="12"/>
  <c r="C13" i="12"/>
  <c r="C14" i="12"/>
  <c r="C3" i="12"/>
  <c r="H31" i="12" l="1"/>
  <c r="H30" i="12"/>
  <c r="H29" i="12"/>
  <c r="H28" i="12"/>
  <c r="H32" i="12"/>
  <c r="H25" i="12"/>
  <c r="H27" i="12"/>
  <c r="H24" i="12"/>
  <c r="H23" i="12"/>
  <c r="H22" i="12"/>
  <c r="C15" i="12"/>
  <c r="G32" i="12"/>
  <c r="G26" i="12"/>
  <c r="G31" i="12"/>
  <c r="G25" i="12"/>
  <c r="G23" i="12"/>
  <c r="G22" i="12"/>
  <c r="G24" i="12"/>
  <c r="G29" i="12"/>
  <c r="G30" i="12"/>
  <c r="G27" i="12"/>
  <c r="G28" i="12"/>
  <c r="E30" i="11"/>
  <c r="E31" i="11"/>
  <c r="E34" i="11"/>
  <c r="E32" i="11"/>
  <c r="E33" i="11"/>
  <c r="E29" i="11"/>
  <c r="E69" i="11"/>
  <c r="E70" i="11"/>
  <c r="E71" i="11"/>
  <c r="E72" i="11"/>
  <c r="E68" i="11"/>
  <c r="G70" i="2" l="1"/>
  <c r="F66" i="2"/>
  <c r="H66" i="2"/>
  <c r="F65" i="2"/>
  <c r="H65" i="2"/>
  <c r="F64" i="2"/>
  <c r="E48" i="11" s="1"/>
  <c r="H64" i="2"/>
  <c r="I48" i="11" s="1"/>
  <c r="F63" i="2"/>
  <c r="E47" i="11" s="1"/>
  <c r="H63" i="2"/>
  <c r="I47" i="11" s="1"/>
  <c r="F62" i="2"/>
  <c r="E46" i="11" s="1"/>
  <c r="H62" i="2"/>
  <c r="H55" i="2"/>
  <c r="F54" i="2"/>
  <c r="E54" i="11" s="1"/>
  <c r="H54" i="2"/>
  <c r="I52" i="2"/>
  <c r="H51" i="2"/>
  <c r="H50" i="2"/>
  <c r="H43" i="2"/>
  <c r="H42" i="2"/>
  <c r="K24" i="12" s="1"/>
  <c r="F41" i="2"/>
  <c r="I24" i="2"/>
  <c r="I25" i="2"/>
  <c r="I26" i="2"/>
  <c r="I27" i="2"/>
  <c r="I28" i="2"/>
  <c r="I23" i="2"/>
  <c r="M24" i="12" l="1"/>
  <c r="N24" i="12"/>
  <c r="C36" i="12" s="1"/>
  <c r="I46" i="11"/>
  <c r="I51" i="11"/>
  <c r="E57" i="11"/>
  <c r="I16" i="2"/>
  <c r="F40" i="2"/>
  <c r="E44" i="11" s="1"/>
  <c r="H40" i="2"/>
  <c r="I44" i="11" s="1"/>
  <c r="F39" i="2"/>
  <c r="H39" i="2"/>
  <c r="I45" i="11" s="1"/>
  <c r="H38" i="2"/>
  <c r="I49" i="11"/>
  <c r="H36" i="2"/>
  <c r="H35" i="2"/>
  <c r="I41" i="11" s="1"/>
  <c r="H34" i="2"/>
  <c r="I37" i="11"/>
  <c r="E45" i="11" l="1"/>
  <c r="I67" i="2"/>
  <c r="I68" i="2"/>
  <c r="I70" i="2"/>
  <c r="G67" i="2"/>
  <c r="G68" i="2"/>
  <c r="F38" i="11" l="1"/>
  <c r="D40" i="10"/>
  <c r="D41" i="10"/>
  <c r="E41" i="10" s="1"/>
  <c r="D42" i="10"/>
  <c r="D39" i="10"/>
  <c r="E36" i="10"/>
  <c r="E45" i="10" s="1"/>
  <c r="E50" i="10" s="1"/>
  <c r="E51" i="10" s="1"/>
  <c r="C43" i="10"/>
  <c r="J37" i="1"/>
  <c r="J38" i="1" s="1"/>
  <c r="E40" i="10" l="1"/>
  <c r="E42" i="10"/>
  <c r="F42" i="10" s="1"/>
  <c r="F41" i="10"/>
  <c r="F40" i="10"/>
  <c r="E39" i="10"/>
  <c r="F39" i="10" s="1"/>
  <c r="D43" i="10"/>
  <c r="G72" i="1"/>
  <c r="G69" i="11"/>
  <c r="G70" i="11"/>
  <c r="G71" i="11"/>
  <c r="G72" i="11"/>
  <c r="G68" i="11"/>
  <c r="D69" i="11"/>
  <c r="D70" i="11"/>
  <c r="D71" i="11"/>
  <c r="D72" i="11"/>
  <c r="D68" i="11"/>
  <c r="B69" i="11"/>
  <c r="B70" i="11"/>
  <c r="B71" i="11"/>
  <c r="B72" i="11"/>
  <c r="B68" i="11"/>
  <c r="E83" i="11"/>
  <c r="F43" i="10" l="1"/>
  <c r="E43" i="10"/>
  <c r="G33" i="11" l="1"/>
  <c r="F33" i="11" s="1"/>
  <c r="G34" i="11"/>
  <c r="F34" i="11" s="1"/>
  <c r="D33" i="11"/>
  <c r="B33" i="11"/>
  <c r="G30" i="11"/>
  <c r="F30" i="11" s="1"/>
  <c r="D30" i="11"/>
  <c r="B30" i="11"/>
  <c r="E26" i="11"/>
  <c r="D27" i="11"/>
  <c r="D28" i="11"/>
  <c r="D26" i="11"/>
  <c r="B28" i="11"/>
  <c r="B26" i="11"/>
  <c r="B14" i="2"/>
  <c r="B27" i="11" s="1"/>
  <c r="B13" i="2"/>
  <c r="G25" i="11"/>
  <c r="D25" i="11"/>
  <c r="F12" i="11"/>
  <c r="F11" i="11"/>
  <c r="G10" i="11"/>
  <c r="F10" i="11"/>
  <c r="F4" i="11"/>
  <c r="C21" i="11"/>
  <c r="C12" i="11"/>
  <c r="C8" i="11"/>
  <c r="C7" i="11"/>
  <c r="B4" i="11"/>
  <c r="B3" i="11"/>
  <c r="B2" i="11"/>
  <c r="I48" i="2"/>
  <c r="G32" i="11"/>
  <c r="F32" i="11" s="1"/>
  <c r="B31" i="11"/>
  <c r="G29" i="11"/>
  <c r="F29" i="11" s="1"/>
  <c r="D34" i="11"/>
  <c r="B34" i="11" l="1"/>
  <c r="B29" i="11"/>
  <c r="D29" i="11"/>
  <c r="B32" i="11"/>
  <c r="D32" i="11"/>
  <c r="G31" i="11"/>
  <c r="F31" i="11" s="1"/>
  <c r="D31" i="11"/>
  <c r="E23" i="10"/>
  <c r="D27" i="10"/>
  <c r="D28" i="10"/>
  <c r="E28" i="10" s="1"/>
  <c r="F28" i="10" s="1"/>
  <c r="D29" i="10"/>
  <c r="D26" i="10"/>
  <c r="C30" i="10"/>
  <c r="E26" i="10" l="1"/>
  <c r="F26" i="10" s="1"/>
  <c r="E27" i="10"/>
  <c r="F27" i="10" s="1"/>
  <c r="E29" i="10"/>
  <c r="F29" i="10" s="1"/>
  <c r="D30" i="10"/>
  <c r="E30" i="10" l="1"/>
  <c r="F30" i="10"/>
  <c r="H12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80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H15" i="2" l="1"/>
  <c r="E25" i="11"/>
  <c r="H14" i="2"/>
  <c r="H13" i="2"/>
  <c r="F5" i="8"/>
  <c r="C15" i="10"/>
  <c r="D14" i="10"/>
  <c r="E14" i="10" s="1"/>
  <c r="D13" i="10"/>
  <c r="D12" i="10"/>
  <c r="D11" i="10"/>
  <c r="E4" i="10"/>
  <c r="E27" i="11" l="1"/>
  <c r="I14" i="2"/>
  <c r="E28" i="11"/>
  <c r="I15" i="2"/>
  <c r="D15" i="10"/>
  <c r="E11" i="10"/>
  <c r="E12" i="10"/>
  <c r="F12" i="10" s="1"/>
  <c r="E13" i="10"/>
  <c r="F13" i="10" s="1"/>
  <c r="F14" i="10"/>
  <c r="E15" i="10" l="1"/>
  <c r="F11" i="10"/>
  <c r="F15" i="10" s="1"/>
  <c r="D9" i="7" l="1"/>
  <c r="F35" i="7"/>
  <c r="D35" i="7"/>
  <c r="F31" i="7"/>
  <c r="D31" i="7"/>
  <c r="F20" i="7"/>
  <c r="F9" i="7"/>
  <c r="F6" i="7"/>
  <c r="D6" i="7"/>
  <c r="K14" i="7" s="1"/>
  <c r="B24" i="7" l="1"/>
  <c r="D23" i="7"/>
  <c r="F33" i="7"/>
  <c r="F37" i="7" s="1"/>
  <c r="K13" i="7"/>
  <c r="D12" i="7" s="1"/>
  <c r="D24" i="7"/>
  <c r="F32" i="7"/>
  <c r="F36" i="7" s="1"/>
  <c r="F11" i="7"/>
  <c r="F23" i="7" s="1"/>
  <c r="F12" i="7"/>
  <c r="F13" i="7"/>
  <c r="E23" i="7" l="1"/>
  <c r="D11" i="7"/>
  <c r="F21" i="7" s="1"/>
  <c r="D32" i="7"/>
  <c r="D36" i="7" s="1"/>
  <c r="D33" i="7"/>
  <c r="D37" i="7" s="1"/>
  <c r="D21" i="7"/>
  <c r="D22" i="7"/>
  <c r="D13" i="7"/>
  <c r="D14" i="7" s="1"/>
  <c r="D15" i="7" s="1"/>
  <c r="F22" i="7" s="1"/>
  <c r="F14" i="7"/>
  <c r="F15" i="7" s="1"/>
  <c r="E21" i="7" l="1"/>
  <c r="E22" i="7"/>
  <c r="B23" i="7"/>
  <c r="F24" i="7"/>
  <c r="E24" i="7" s="1"/>
  <c r="F25" i="7" l="1"/>
  <c r="G50" i="6" l="1"/>
  <c r="H50" i="6" s="1"/>
  <c r="G38" i="6"/>
  <c r="G40" i="6" s="1"/>
  <c r="D22" i="6"/>
  <c r="C22" i="6"/>
  <c r="E22" i="6" s="1"/>
  <c r="F4" i="6"/>
  <c r="F3" i="6"/>
  <c r="F2" i="6"/>
  <c r="F27" i="6" l="1"/>
  <c r="F28" i="6" s="1"/>
  <c r="I3" i="6"/>
  <c r="C27" i="6" s="1"/>
  <c r="I2" i="6" l="1"/>
  <c r="C26" i="6" s="1"/>
  <c r="C28" i="6" s="1"/>
  <c r="D30" i="6" s="1"/>
  <c r="H43" i="5" l="1"/>
  <c r="H41" i="5"/>
  <c r="J41" i="5" s="1"/>
  <c r="M41" i="5" s="1"/>
  <c r="D41" i="5"/>
  <c r="J25" i="5"/>
  <c r="F25" i="5"/>
  <c r="F29" i="5" s="1"/>
  <c r="D43" i="5" s="1"/>
  <c r="F21" i="5"/>
  <c r="J9" i="5"/>
  <c r="D42" i="5" s="1"/>
  <c r="H42" i="5" s="1"/>
  <c r="J42" i="5" s="1"/>
  <c r="M42" i="5" s="1"/>
  <c r="F9" i="5"/>
  <c r="G17" i="4" l="1"/>
  <c r="F14" i="4"/>
  <c r="H14" i="4" s="1"/>
  <c r="E10" i="4" l="1"/>
  <c r="F10" i="4" s="1"/>
  <c r="H10" i="4" s="1"/>
  <c r="E13" i="4"/>
  <c r="F13" i="4" s="1"/>
  <c r="H13" i="4" s="1"/>
  <c r="E8" i="4"/>
  <c r="E9" i="4"/>
  <c r="F9" i="4" s="1"/>
  <c r="H9" i="4" s="1"/>
  <c r="E12" i="4"/>
  <c r="F12" i="4" s="1"/>
  <c r="H12" i="4" s="1"/>
  <c r="F8" i="4"/>
  <c r="H8" i="4" s="1"/>
  <c r="E11" i="4" l="1"/>
  <c r="F11" i="4" s="1"/>
  <c r="H11" i="4" s="1"/>
  <c r="H15" i="4" s="1"/>
  <c r="L13" i="4" s="1"/>
  <c r="L10" i="4" s="1"/>
  <c r="G18" i="4" s="1"/>
  <c r="H18" i="4" l="1"/>
  <c r="G19" i="4"/>
  <c r="H20" i="4" l="1"/>
  <c r="H19" i="4"/>
  <c r="H17" i="4"/>
  <c r="N35" i="2" l="1"/>
  <c r="N25" i="2"/>
  <c r="N33" i="2"/>
  <c r="H75" i="2" l="1"/>
  <c r="H74" i="2"/>
  <c r="F93" i="2" l="1"/>
  <c r="E58" i="11"/>
  <c r="H76" i="2"/>
  <c r="M5" i="2"/>
  <c r="M4" i="2"/>
  <c r="S24" i="2" s="1"/>
  <c r="S35" i="2" l="1"/>
  <c r="S34" i="2"/>
  <c r="S25" i="2"/>
  <c r="S33" i="2"/>
  <c r="S30" i="2"/>
  <c r="S29" i="2"/>
  <c r="S28" i="2"/>
  <c r="S26" i="2"/>
  <c r="S32" i="2"/>
  <c r="S31" i="2"/>
  <c r="S27" i="2"/>
  <c r="P8" i="2"/>
  <c r="P9" i="2"/>
  <c r="P10" i="2"/>
  <c r="P15" i="2"/>
  <c r="V8" i="2"/>
  <c r="P11" i="2"/>
  <c r="P13" i="2"/>
  <c r="P16" i="2"/>
  <c r="P19" i="2"/>
  <c r="P14" i="2"/>
  <c r="P18" i="2"/>
  <c r="P12" i="2"/>
  <c r="P17" i="2"/>
  <c r="G83" i="11" l="1"/>
  <c r="Q8" i="2"/>
  <c r="V9" i="2"/>
  <c r="G28" i="11"/>
  <c r="G27" i="11"/>
  <c r="I13" i="2"/>
  <c r="G26" i="11" s="1"/>
  <c r="F10" i="2"/>
  <c r="F7" i="2"/>
  <c r="F6" i="2"/>
  <c r="F5" i="2"/>
  <c r="F4" i="2"/>
  <c r="D11" i="2"/>
  <c r="D10" i="2"/>
  <c r="C8" i="2"/>
  <c r="C7" i="2"/>
  <c r="B6" i="2"/>
  <c r="B5" i="2"/>
  <c r="B4" i="2"/>
  <c r="I29" i="2" l="1"/>
  <c r="N8" i="2" s="1"/>
  <c r="J13" i="2"/>
  <c r="J78" i="11" s="1"/>
  <c r="E47" i="2"/>
  <c r="E76" i="2"/>
  <c r="I76" i="2" s="1"/>
  <c r="V10" i="2"/>
  <c r="Q9" i="2"/>
  <c r="F72" i="1"/>
  <c r="F65" i="1"/>
  <c r="F66" i="1" s="1"/>
  <c r="F63" i="1"/>
  <c r="F64" i="1" s="1"/>
  <c r="F61" i="1"/>
  <c r="F59" i="1"/>
  <c r="L19" i="6" s="1"/>
  <c r="F74" i="1" l="1"/>
  <c r="F76" i="1"/>
  <c r="F75" i="1"/>
  <c r="N28" i="2"/>
  <c r="N27" i="2"/>
  <c r="K3" i="12"/>
  <c r="M3" i="12" s="1"/>
  <c r="C21" i="12"/>
  <c r="D15" i="12"/>
  <c r="D21" i="12"/>
  <c r="D62" i="11"/>
  <c r="N26" i="2"/>
  <c r="F59" i="11"/>
  <c r="D59" i="11"/>
  <c r="B59" i="11"/>
  <c r="E59" i="11"/>
  <c r="N32" i="2"/>
  <c r="N30" i="2"/>
  <c r="N31" i="2"/>
  <c r="L23" i="6"/>
  <c r="O27" i="6"/>
  <c r="G46" i="6"/>
  <c r="G41" i="6"/>
  <c r="G42" i="6" s="1"/>
  <c r="Q10" i="2"/>
  <c r="V11" i="2"/>
  <c r="F73" i="1"/>
  <c r="E13" i="5" l="1"/>
  <c r="E14" i="5"/>
  <c r="E12" i="5"/>
  <c r="H21" i="12"/>
  <c r="M15" i="12"/>
  <c r="L3" i="12"/>
  <c r="H42" i="6"/>
  <c r="O15" i="6" s="1"/>
  <c r="L15" i="6"/>
  <c r="G21" i="12"/>
  <c r="K15" i="12"/>
  <c r="N29" i="2"/>
  <c r="N34" i="2"/>
  <c r="H46" i="6"/>
  <c r="O19" i="6" s="1"/>
  <c r="L27" i="6" s="1"/>
  <c r="V12" i="2"/>
  <c r="Q11" i="2"/>
  <c r="L4" i="12" l="1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O23" i="6"/>
  <c r="I21" i="12"/>
  <c r="G37" i="12" s="1"/>
  <c r="D17" i="5"/>
  <c r="D18" i="5" s="1"/>
  <c r="Q12" i="2"/>
  <c r="V13" i="2"/>
  <c r="F37" i="12" l="1"/>
  <c r="E18" i="5"/>
  <c r="H44" i="5"/>
  <c r="D44" i="5"/>
  <c r="D46" i="5" s="1"/>
  <c r="F32" i="5"/>
  <c r="H48" i="5" s="1"/>
  <c r="J48" i="5" s="1"/>
  <c r="J32" i="5"/>
  <c r="I22" i="12"/>
  <c r="G38" i="12" s="1"/>
  <c r="V14" i="2"/>
  <c r="Q13" i="2"/>
  <c r="D48" i="5" l="1"/>
  <c r="F38" i="12"/>
  <c r="H46" i="5"/>
  <c r="J44" i="5"/>
  <c r="M44" i="5" s="1"/>
  <c r="M46" i="5" s="1"/>
  <c r="M43" i="5" s="1"/>
  <c r="J46" i="5"/>
  <c r="M48" i="5"/>
  <c r="J37" i="12"/>
  <c r="I37" i="12"/>
  <c r="I23" i="12"/>
  <c r="G39" i="12" s="1"/>
  <c r="Q14" i="2"/>
  <c r="V15" i="2"/>
  <c r="K37" i="12" l="1"/>
  <c r="L37" i="12"/>
  <c r="F39" i="12"/>
  <c r="J43" i="5"/>
  <c r="J38" i="12"/>
  <c r="I38" i="12"/>
  <c r="I24" i="12"/>
  <c r="V16" i="2"/>
  <c r="Q15" i="2"/>
  <c r="F40" i="12" l="1"/>
  <c r="G40" i="12"/>
  <c r="K38" i="12"/>
  <c r="L38" i="12"/>
  <c r="M37" i="12"/>
  <c r="J39" i="12"/>
  <c r="I39" i="12"/>
  <c r="I25" i="12"/>
  <c r="G41" i="12" s="1"/>
  <c r="Q16" i="2"/>
  <c r="V17" i="2"/>
  <c r="L39" i="12" l="1"/>
  <c r="K39" i="12"/>
  <c r="M38" i="12"/>
  <c r="F41" i="12"/>
  <c r="I40" i="12"/>
  <c r="J40" i="12"/>
  <c r="I26" i="12"/>
  <c r="G42" i="12" s="1"/>
  <c r="V18" i="2"/>
  <c r="Q17" i="2"/>
  <c r="L40" i="12" l="1"/>
  <c r="K40" i="12"/>
  <c r="M40" i="12" s="1"/>
  <c r="M39" i="12"/>
  <c r="F42" i="12"/>
  <c r="I41" i="12"/>
  <c r="J41" i="12"/>
  <c r="I27" i="12"/>
  <c r="G43" i="12" s="1"/>
  <c r="Q18" i="2"/>
  <c r="V19" i="2"/>
  <c r="K41" i="12" l="1"/>
  <c r="L41" i="12"/>
  <c r="F43" i="12"/>
  <c r="J42" i="12"/>
  <c r="I42" i="12"/>
  <c r="I28" i="12"/>
  <c r="Q19" i="2"/>
  <c r="F44" i="12" l="1"/>
  <c r="G44" i="12"/>
  <c r="L42" i="12"/>
  <c r="K42" i="12"/>
  <c r="M41" i="12"/>
  <c r="I43" i="12"/>
  <c r="J43" i="12"/>
  <c r="I29" i="12"/>
  <c r="G45" i="12" s="1"/>
  <c r="E57" i="2"/>
  <c r="I57" i="2" s="1"/>
  <c r="E43" i="2"/>
  <c r="I43" i="2" s="1"/>
  <c r="E33" i="2"/>
  <c r="I33" i="2" s="1"/>
  <c r="J37" i="11" s="1"/>
  <c r="E60" i="2"/>
  <c r="I60" i="2" s="1"/>
  <c r="E36" i="2"/>
  <c r="I36" i="2" s="1"/>
  <c r="E34" i="2"/>
  <c r="I34" i="2" s="1"/>
  <c r="E35" i="2"/>
  <c r="H41" i="11" s="1"/>
  <c r="E59" i="2"/>
  <c r="I59" i="2" s="1"/>
  <c r="E37" i="2"/>
  <c r="H49" i="11" s="1"/>
  <c r="E39" i="2"/>
  <c r="I39" i="2" s="1"/>
  <c r="J45" i="11" s="1"/>
  <c r="E58" i="2"/>
  <c r="I58" i="2" s="1"/>
  <c r="G35" i="11"/>
  <c r="C83" i="11"/>
  <c r="O8" i="2"/>
  <c r="M42" i="12" l="1"/>
  <c r="K43" i="12"/>
  <c r="L43" i="12"/>
  <c r="F45" i="12"/>
  <c r="I30" i="12"/>
  <c r="G46" i="12" s="1"/>
  <c r="I44" i="12"/>
  <c r="J44" i="12"/>
  <c r="H37" i="11"/>
  <c r="I35" i="2"/>
  <c r="J41" i="11" s="1"/>
  <c r="I37" i="2"/>
  <c r="J49" i="11" s="1"/>
  <c r="O24" i="2"/>
  <c r="S8" i="2"/>
  <c r="O9" i="2"/>
  <c r="R8" i="2"/>
  <c r="X8" i="2"/>
  <c r="Y8" i="2" s="1"/>
  <c r="R24" i="2"/>
  <c r="N24" i="2"/>
  <c r="D45" i="11"/>
  <c r="H45" i="11" s="1"/>
  <c r="G39" i="2"/>
  <c r="K44" i="12" l="1"/>
  <c r="L44" i="12"/>
  <c r="M43" i="12"/>
  <c r="F46" i="12"/>
  <c r="T24" i="2"/>
  <c r="J45" i="12"/>
  <c r="I45" i="12"/>
  <c r="I31" i="12"/>
  <c r="G47" i="12" s="1"/>
  <c r="F45" i="11"/>
  <c r="T8" i="2"/>
  <c r="O10" i="2"/>
  <c r="R9" i="2"/>
  <c r="S9" i="2" s="1"/>
  <c r="O25" i="2"/>
  <c r="T25" i="2" s="1"/>
  <c r="X9" i="2"/>
  <c r="Y9" i="2" s="1"/>
  <c r="Q24" i="2"/>
  <c r="K45" i="12" l="1"/>
  <c r="L45" i="12"/>
  <c r="M44" i="12"/>
  <c r="F47" i="12"/>
  <c r="J46" i="12"/>
  <c r="I46" i="12"/>
  <c r="I32" i="12"/>
  <c r="W8" i="2"/>
  <c r="U8" i="2"/>
  <c r="T9" i="2" s="1"/>
  <c r="W9" i="2" s="1"/>
  <c r="Q25" i="2"/>
  <c r="R25" i="2"/>
  <c r="O11" i="2"/>
  <c r="R10" i="2"/>
  <c r="X10" i="2"/>
  <c r="Y10" i="2" s="1"/>
  <c r="O26" i="2"/>
  <c r="T26" i="2" s="1"/>
  <c r="F48" i="12" l="1"/>
  <c r="G48" i="12"/>
  <c r="K46" i="12"/>
  <c r="L46" i="12"/>
  <c r="M45" i="12"/>
  <c r="J47" i="12"/>
  <c r="I47" i="12"/>
  <c r="S10" i="2"/>
  <c r="R11" i="2" s="1"/>
  <c r="S11" i="2" s="1"/>
  <c r="Q26" i="2"/>
  <c r="R26" i="2"/>
  <c r="X11" i="2"/>
  <c r="Y11" i="2" s="1"/>
  <c r="O27" i="2"/>
  <c r="T27" i="2" s="1"/>
  <c r="O12" i="2"/>
  <c r="U9" i="2"/>
  <c r="L47" i="12" l="1"/>
  <c r="K47" i="12"/>
  <c r="M46" i="12"/>
  <c r="T10" i="2"/>
  <c r="W10" i="2" s="1"/>
  <c r="I48" i="12"/>
  <c r="J48" i="12"/>
  <c r="R27" i="2"/>
  <c r="Q27" i="2"/>
  <c r="O28" i="2"/>
  <c r="T28" i="2" s="1"/>
  <c r="E50" i="2" s="1"/>
  <c r="E51" i="2" s="1"/>
  <c r="R12" i="2"/>
  <c r="S12" i="2" s="1"/>
  <c r="X12" i="2"/>
  <c r="Y12" i="2" s="1"/>
  <c r="O13" i="2"/>
  <c r="M47" i="12" l="1"/>
  <c r="L48" i="12"/>
  <c r="L50" i="12" s="1"/>
  <c r="K48" i="12"/>
  <c r="U10" i="2"/>
  <c r="T11" i="2" s="1"/>
  <c r="W11" i="2" s="1"/>
  <c r="O14" i="2"/>
  <c r="R13" i="2"/>
  <c r="S13" i="2" s="1"/>
  <c r="O29" i="2"/>
  <c r="T29" i="2" s="1"/>
  <c r="X13" i="2"/>
  <c r="Y13" i="2" s="1"/>
  <c r="Q28" i="2"/>
  <c r="R28" i="2"/>
  <c r="M48" i="12" l="1"/>
  <c r="K49" i="12"/>
  <c r="L51" i="12" s="1"/>
  <c r="M53" i="12"/>
  <c r="I44" i="2" s="1"/>
  <c r="D45" i="2" s="1"/>
  <c r="R14" i="2"/>
  <c r="S14" i="2" s="1"/>
  <c r="O30" i="2"/>
  <c r="T30" i="2" s="1"/>
  <c r="O15" i="2"/>
  <c r="X14" i="2"/>
  <c r="Y14" i="2" s="1"/>
  <c r="R29" i="2"/>
  <c r="Q29" i="2"/>
  <c r="U11" i="2"/>
  <c r="R15" i="2" l="1"/>
  <c r="S15" i="2" s="1"/>
  <c r="X15" i="2"/>
  <c r="Y15" i="2" s="1"/>
  <c r="O31" i="2"/>
  <c r="T31" i="2" s="1"/>
  <c r="O16" i="2"/>
  <c r="R30" i="2"/>
  <c r="Q30" i="2"/>
  <c r="T12" i="2"/>
  <c r="W12" i="2" s="1"/>
  <c r="J61" i="11" l="1"/>
  <c r="D46" i="2"/>
  <c r="Q31" i="2"/>
  <c r="R31" i="2"/>
  <c r="O17" i="2"/>
  <c r="X16" i="2"/>
  <c r="Y16" i="2" s="1"/>
  <c r="R16" i="2"/>
  <c r="S16" i="2" s="1"/>
  <c r="O32" i="2"/>
  <c r="T32" i="2" s="1"/>
  <c r="U12" i="2"/>
  <c r="X17" i="2" l="1"/>
  <c r="Y17" i="2" s="1"/>
  <c r="O18" i="2"/>
  <c r="O33" i="2"/>
  <c r="T33" i="2" s="1"/>
  <c r="R17" i="2"/>
  <c r="T13" i="2"/>
  <c r="W13" i="2" s="1"/>
  <c r="Q32" i="2"/>
  <c r="R32" i="2"/>
  <c r="S17" i="2" l="1"/>
  <c r="R18" i="2" s="1"/>
  <c r="S18" i="2" s="1"/>
  <c r="U13" i="2"/>
  <c r="R33" i="2"/>
  <c r="Q33" i="2"/>
  <c r="O19" i="2"/>
  <c r="X18" i="2"/>
  <c r="Y18" i="2" s="1"/>
  <c r="O34" i="2"/>
  <c r="T34" i="2" s="1"/>
  <c r="Q34" i="2" l="1"/>
  <c r="R34" i="2"/>
  <c r="O35" i="2"/>
  <c r="T35" i="2" s="1"/>
  <c r="R19" i="2"/>
  <c r="X19" i="2"/>
  <c r="Y19" i="2" s="1"/>
  <c r="T14" i="2"/>
  <c r="W14" i="2" s="1"/>
  <c r="S19" i="2" l="1"/>
  <c r="M2" i="2"/>
  <c r="R35" i="2"/>
  <c r="E40" i="2" s="1"/>
  <c r="Q35" i="2"/>
  <c r="T37" i="2" s="1"/>
  <c r="E64" i="2" s="1"/>
  <c r="U14" i="2"/>
  <c r="J57" i="2" l="1"/>
  <c r="E55" i="2" s="1"/>
  <c r="I55" i="2" s="1"/>
  <c r="J38" i="11" s="1"/>
  <c r="D29" i="2"/>
  <c r="I64" i="2"/>
  <c r="J48" i="11" s="1"/>
  <c r="D48" i="11"/>
  <c r="H48" i="11" s="1"/>
  <c r="G64" i="2"/>
  <c r="F48" i="11" s="1"/>
  <c r="E62" i="2"/>
  <c r="I40" i="2"/>
  <c r="J44" i="11" s="1"/>
  <c r="G40" i="2"/>
  <c r="D44" i="11"/>
  <c r="H44" i="11" s="1"/>
  <c r="T15" i="2"/>
  <c r="W15" i="2" s="1"/>
  <c r="F44" i="11" l="1"/>
  <c r="J44" i="2"/>
  <c r="J45" i="2"/>
  <c r="E42" i="2" s="1"/>
  <c r="I42" i="2" s="1"/>
  <c r="G62" i="2"/>
  <c r="D46" i="11"/>
  <c r="H46" i="11" s="1"/>
  <c r="E65" i="2"/>
  <c r="I62" i="2"/>
  <c r="E54" i="2"/>
  <c r="I50" i="2"/>
  <c r="I51" i="2"/>
  <c r="H51" i="11"/>
  <c r="U15" i="2"/>
  <c r="G69" i="2" l="1"/>
  <c r="F39" i="11" s="1"/>
  <c r="F73" i="11" s="1"/>
  <c r="I69" i="2"/>
  <c r="J51" i="11"/>
  <c r="I54" i="2"/>
  <c r="G54" i="2"/>
  <c r="F54" i="11" s="1"/>
  <c r="D54" i="11"/>
  <c r="G65" i="2"/>
  <c r="F46" i="11" s="1"/>
  <c r="I65" i="2"/>
  <c r="J46" i="11" s="1"/>
  <c r="T16" i="2"/>
  <c r="W16" i="2" s="1"/>
  <c r="E38" i="2" l="1"/>
  <c r="I38" i="2" s="1"/>
  <c r="J55" i="11" s="1"/>
  <c r="E41" i="2"/>
  <c r="J39" i="11"/>
  <c r="U16" i="2"/>
  <c r="T17" i="2" l="1"/>
  <c r="W17" i="2" s="1"/>
  <c r="U17" i="2" l="1"/>
  <c r="T18" i="2" l="1"/>
  <c r="W18" i="2" s="1"/>
  <c r="U18" i="2" l="1"/>
  <c r="T19" i="2" l="1"/>
  <c r="W19" i="2" s="1"/>
  <c r="M3" i="2" s="1"/>
  <c r="D28" i="2" l="1"/>
  <c r="E63" i="2"/>
  <c r="U19" i="2"/>
  <c r="E66" i="2" l="1"/>
  <c r="D47" i="11"/>
  <c r="H47" i="11" s="1"/>
  <c r="G63" i="2"/>
  <c r="I63" i="2"/>
  <c r="D57" i="11"/>
  <c r="G41" i="2"/>
  <c r="E75" i="2"/>
  <c r="I75" i="2" s="1"/>
  <c r="E74" i="2"/>
  <c r="G66" i="2" l="1"/>
  <c r="F47" i="11" s="1"/>
  <c r="I66" i="2"/>
  <c r="J47" i="11" s="1"/>
  <c r="F57" i="11"/>
  <c r="I74" i="2"/>
  <c r="D58" i="11"/>
  <c r="J48" i="2" l="1"/>
  <c r="J49" i="2" s="1"/>
  <c r="F47" i="2" s="1"/>
  <c r="I72" i="2"/>
  <c r="I71" i="2"/>
  <c r="F58" i="11"/>
  <c r="J78" i="2"/>
  <c r="E62" i="11" l="1"/>
  <c r="G47" i="2"/>
  <c r="G72" i="2" s="1"/>
  <c r="D73" i="2" s="1"/>
  <c r="F83" i="11"/>
  <c r="H91" i="2"/>
  <c r="H83" i="11" s="1"/>
  <c r="J60" i="11"/>
  <c r="G62" i="11" l="1"/>
  <c r="G71" i="2"/>
  <c r="I73" i="2" s="1"/>
  <c r="F60" i="11"/>
  <c r="J74" i="11"/>
  <c r="H78" i="2"/>
  <c r="G66" i="11" s="1"/>
  <c r="D93" i="2"/>
  <c r="D94" i="2" s="1"/>
  <c r="I77" i="2" l="1"/>
  <c r="D96" i="2" s="1"/>
  <c r="J77" i="11" l="1"/>
  <c r="G89" i="2"/>
  <c r="D83" i="11"/>
  <c r="M102" i="2" l="1"/>
  <c r="H89" i="2" s="1"/>
  <c r="G79" i="11" s="1"/>
  <c r="I89" i="2" l="1"/>
  <c r="J79" i="11" l="1"/>
  <c r="I90" i="2"/>
  <c r="H81" i="11" s="1"/>
</calcChain>
</file>

<file path=xl/sharedStrings.xml><?xml version="1.0" encoding="utf-8"?>
<sst xmlns="http://schemas.openxmlformats.org/spreadsheetml/2006/main" count="827" uniqueCount="611">
  <si>
    <t>PARTIE A REMPLIR</t>
  </si>
  <si>
    <t>Nom Employeur</t>
  </si>
  <si>
    <t>Nom salarié</t>
  </si>
  <si>
    <t>Adresse salarié</t>
  </si>
  <si>
    <t>Adresse</t>
  </si>
  <si>
    <t xml:space="preserve">Prénom </t>
  </si>
  <si>
    <t>CP et Ville salarié</t>
  </si>
  <si>
    <t>CP et Ville</t>
  </si>
  <si>
    <t>poste occupé</t>
  </si>
  <si>
    <t>N° Siret</t>
  </si>
  <si>
    <t>Non cadre</t>
  </si>
  <si>
    <t>Code APE</t>
  </si>
  <si>
    <t>Cadre</t>
  </si>
  <si>
    <t>Convention collective</t>
  </si>
  <si>
    <t>Dirigeant</t>
  </si>
  <si>
    <t>Mois</t>
  </si>
  <si>
    <t>Nombre de salariés</t>
  </si>
  <si>
    <t>statut</t>
  </si>
  <si>
    <t>Cotisations Minimales Obligatoires des Employeurs et Salariés</t>
  </si>
  <si>
    <t>Nature des cotisations</t>
  </si>
  <si>
    <t>Part Employeur</t>
  </si>
  <si>
    <t>Part Salarié</t>
  </si>
  <si>
    <t>Total</t>
  </si>
  <si>
    <t>Assiette maxi</t>
  </si>
  <si>
    <t>URSSAF</t>
  </si>
  <si>
    <t>TT</t>
  </si>
  <si>
    <t>Contribution de solidarité pour autonomie</t>
  </si>
  <si>
    <t>Assurance vieillesse plafonnée</t>
  </si>
  <si>
    <t>TA</t>
  </si>
  <si>
    <t>Assurance vieillesse Totalité</t>
  </si>
  <si>
    <r>
      <t xml:space="preserve">Aide au logement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</si>
  <si>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Aide au logement </t>
    </r>
    <r>
      <rPr>
        <sz val="11"/>
        <color rgb="FF0070C0"/>
        <rFont val="Calibri"/>
        <family val="2"/>
        <scheme val="minor"/>
      </rPr>
      <t>(plus de 50 salariés)</t>
    </r>
  </si>
  <si>
    <r>
      <t xml:space="preserve">Accident du travail </t>
    </r>
    <r>
      <rPr>
        <sz val="11"/>
        <color rgb="FF0070C0"/>
        <rFont val="Calibri"/>
        <family val="2"/>
        <scheme val="minor"/>
      </rPr>
      <t>(taux variable par entreprise)</t>
    </r>
  </si>
  <si>
    <r>
      <t xml:space="preserve">CSG </t>
    </r>
    <r>
      <rPr>
        <sz val="11"/>
        <color rgb="FF0070C0"/>
        <rFont val="Calibri"/>
        <family val="2"/>
        <scheme val="minor"/>
      </rPr>
      <t>(non déductible)</t>
    </r>
  </si>
  <si>
    <t>TX</t>
  </si>
  <si>
    <r>
      <t xml:space="preserve">CSG </t>
    </r>
    <r>
      <rPr>
        <sz val="11"/>
        <color rgb="FF0070C0"/>
        <rFont val="Calibri"/>
        <family val="2"/>
        <scheme val="minor"/>
      </rPr>
      <t>(déductible)</t>
    </r>
  </si>
  <si>
    <r>
      <t xml:space="preserve">CRDS </t>
    </r>
    <r>
      <rPr>
        <sz val="11"/>
        <color rgb="FF0070C0"/>
        <rFont val="Calibri"/>
        <family val="2"/>
        <scheme val="minor"/>
      </rPr>
      <t>(non déductible)</t>
    </r>
  </si>
  <si>
    <r>
      <t xml:space="preserve">Forfait social </t>
    </r>
    <r>
      <rPr>
        <sz val="11"/>
        <color rgb="FF0070C0"/>
        <rFont val="Calibri"/>
        <family val="2"/>
        <scheme val="minor"/>
      </rPr>
      <t>(taux réduit)</t>
    </r>
  </si>
  <si>
    <t>TXT</t>
  </si>
  <si>
    <t>Contribution au dialogue social</t>
  </si>
  <si>
    <r>
      <t xml:space="preserve">Chômage </t>
    </r>
    <r>
      <rPr>
        <sz val="11"/>
        <color rgb="FF0070C0"/>
        <rFont val="Calibri"/>
        <family val="2"/>
        <scheme val="minor"/>
      </rPr>
      <t>(limité à 4 PMSS)</t>
    </r>
  </si>
  <si>
    <t>4 PMSS</t>
  </si>
  <si>
    <r>
      <t xml:space="preserve">AGS </t>
    </r>
    <r>
      <rPr>
        <sz val="11"/>
        <color rgb="FF0070C0"/>
        <rFont val="Calibri"/>
        <family val="2"/>
        <scheme val="minor"/>
      </rPr>
      <t>(limité à 4 PMSS)</t>
    </r>
  </si>
  <si>
    <t>CAISSES DE RETRAITES</t>
  </si>
  <si>
    <t>Cadres</t>
  </si>
  <si>
    <t>APEC</t>
  </si>
  <si>
    <t>TA + TB</t>
  </si>
  <si>
    <t>Prévoyance Cadres (assurance Invalidité-Décès)</t>
  </si>
  <si>
    <t>T1</t>
  </si>
  <si>
    <t>Tous statuts</t>
  </si>
  <si>
    <t>Retraite T1</t>
  </si>
  <si>
    <t>Retraite T2</t>
  </si>
  <si>
    <t>T2</t>
  </si>
  <si>
    <t>CET (à partir d'1 PMSS)</t>
  </si>
  <si>
    <t>T1 + T2</t>
  </si>
  <si>
    <t>CEG T1</t>
  </si>
  <si>
    <t>CEG T2</t>
  </si>
  <si>
    <t>DIVERS</t>
  </si>
  <si>
    <r>
      <t xml:space="preserve">Plafond de sécurité Sociale mensuel </t>
    </r>
    <r>
      <rPr>
        <sz val="11"/>
        <color rgb="FF0070C0"/>
        <rFont val="Calibri"/>
        <family val="2"/>
        <scheme val="minor"/>
      </rPr>
      <t>(PMSS)</t>
    </r>
  </si>
  <si>
    <r>
      <t xml:space="preserve">Plafond de sécurité Sociale Annuel </t>
    </r>
    <r>
      <rPr>
        <sz val="11"/>
        <color rgb="FF0070C0"/>
        <rFont val="Calibri"/>
        <family val="2"/>
        <scheme val="minor"/>
      </rPr>
      <t>(PASS)</t>
    </r>
  </si>
  <si>
    <t>Plafond Annuel TB</t>
  </si>
  <si>
    <t>TT = Totalité du salaire</t>
  </si>
  <si>
    <t>TA = jusqu'au plafond de sécurité sociale</t>
  </si>
  <si>
    <t>TB = entre 1 et 4 fois le plafond de la sécurité sociale</t>
  </si>
  <si>
    <t>T1 = plafond de la sécurité sociale</t>
  </si>
  <si>
    <t>T2 = entre 1 et 8 fois le plafond de la sécurité sociale</t>
  </si>
  <si>
    <t>TX = (98,25% du Brut) + Part patronale (Prév + mutuelle santé)</t>
  </si>
  <si>
    <t>TXT = Part patronale (Prév + mutuelle santé)</t>
  </si>
  <si>
    <t>Minimum Garanti au 1/1</t>
  </si>
  <si>
    <t>SMIC horaire actuel</t>
  </si>
  <si>
    <t>SMIC MENSUEL</t>
  </si>
  <si>
    <t>Limite 1,6 fois le SMIC</t>
  </si>
  <si>
    <t>BULLETIN DE SALAIRE</t>
  </si>
  <si>
    <t>EMPLOYEUR</t>
  </si>
  <si>
    <t>SALARIE</t>
  </si>
  <si>
    <t>N° SIRET :</t>
  </si>
  <si>
    <t>Code APE :</t>
  </si>
  <si>
    <t>N° de S.S. :</t>
  </si>
  <si>
    <t>Convention collective :</t>
  </si>
  <si>
    <t>Mois :</t>
  </si>
  <si>
    <t>Salaire de base</t>
  </si>
  <si>
    <t>à</t>
  </si>
  <si>
    <t>Heures supplémentaires à 50 %</t>
  </si>
  <si>
    <t>SALAIRE BRUT TOTAL</t>
  </si>
  <si>
    <t>COTISATIONS</t>
  </si>
  <si>
    <t>BASES</t>
  </si>
  <si>
    <t>RETENUES SALARIALES</t>
  </si>
  <si>
    <t>TAUX</t>
  </si>
  <si>
    <t>MONTANTS</t>
  </si>
  <si>
    <t>S.S.</t>
  </si>
  <si>
    <t>Maladie</t>
  </si>
  <si>
    <t>Contribution de solidarité</t>
  </si>
  <si>
    <t>Accident du travail</t>
  </si>
  <si>
    <t>Forfait Social</t>
  </si>
  <si>
    <t>Vieillesse Totalité</t>
  </si>
  <si>
    <t>Contribution sociale généralisée</t>
  </si>
  <si>
    <t>Aide au logement</t>
  </si>
  <si>
    <t>Part Agirc - Arrco</t>
  </si>
  <si>
    <t>Réduction HS</t>
  </si>
  <si>
    <t>Réduction TEPA</t>
  </si>
  <si>
    <t>Chômage</t>
  </si>
  <si>
    <t>Base TA + TB</t>
  </si>
  <si>
    <t>AGS TA + TB</t>
  </si>
  <si>
    <t xml:space="preserve">Cadres </t>
  </si>
  <si>
    <t>APEC cadres</t>
  </si>
  <si>
    <t>Prévoyance / assurance décès</t>
  </si>
  <si>
    <t>Tous status</t>
  </si>
  <si>
    <t>CET</t>
  </si>
  <si>
    <t>Mutuelle santé</t>
  </si>
  <si>
    <t>Prévoyance maintien de salaire</t>
  </si>
  <si>
    <t>sous-total</t>
  </si>
  <si>
    <t>NET IMPOSABLE</t>
  </si>
  <si>
    <t>Remboursement de la dette sociale</t>
  </si>
  <si>
    <t>NET APRES RETENUES</t>
  </si>
  <si>
    <t>Indemnité de licenciement</t>
  </si>
  <si>
    <t>Indémnités journalières subrogées</t>
  </si>
  <si>
    <t>Part Patronale Titres Restaurant</t>
  </si>
  <si>
    <t>x</t>
  </si>
  <si>
    <t>NET A PAYER</t>
  </si>
  <si>
    <t>janvier</t>
  </si>
  <si>
    <t>Tranche B/2</t>
  </si>
  <si>
    <t>PMSS</t>
  </si>
  <si>
    <t>Vieillesse Plafonnée</t>
  </si>
  <si>
    <t>HS</t>
  </si>
  <si>
    <t>BAREME TAUX NEUTRE</t>
  </si>
  <si>
    <t xml:space="preserve">Inférieur à </t>
  </si>
  <si>
    <t xml:space="preserve">Sup. ou égal à </t>
  </si>
  <si>
    <t>et inf. à</t>
  </si>
  <si>
    <t xml:space="preserve">A partir de </t>
  </si>
  <si>
    <t>Taux perso</t>
  </si>
  <si>
    <t>Taux neutre</t>
  </si>
  <si>
    <t>MOIS</t>
  </si>
  <si>
    <t>SALAIRE</t>
  </si>
  <si>
    <t>CUMUL SALAIRE</t>
  </si>
  <si>
    <t>PLAFOND SS</t>
  </si>
  <si>
    <t>CUMUL PLAFOND SS</t>
  </si>
  <si>
    <t>TA CUMUL</t>
  </si>
  <si>
    <t>Plafonds SS * 8 cumulés</t>
  </si>
  <si>
    <t>Tranche non soumise cumulée</t>
  </si>
  <si>
    <t>Tranche non soumise du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</si>
  <si>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</si>
  <si>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</si>
  <si>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</si>
  <si>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</si>
  <si>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</si>
  <si>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</si>
  <si>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</si>
  <si>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</si>
  <si>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</si>
  <si>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</si>
  <si>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</si>
  <si>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</si>
  <si>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régul C.E.T. du mois</t>
  </si>
  <si>
    <t>mois</t>
  </si>
  <si>
    <t>salaire</t>
  </si>
  <si>
    <t>cumul plafond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</si>
  <si>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</si>
  <si>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</si>
  <si>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</si>
  <si>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</si>
  <si>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</si>
  <si>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</si>
  <si>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</si>
  <si>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</si>
  <si>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</si>
  <si>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</si>
  <si>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</si>
  <si>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</si>
  <si>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 base &gt; TA+TB</t>
  </si>
  <si>
    <t>Mois en cours</t>
  </si>
  <si>
    <r>
      <t xml:space="preserve">Salaire net mensuel </t>
    </r>
    <r>
      <rPr>
        <b/>
        <sz val="11"/>
        <color theme="1"/>
        <rFont val="Calibri"/>
        <family val="2"/>
        <scheme val="minor"/>
      </rPr>
      <t>(salaire brut - cotisations salariales - PAS)</t>
    </r>
    <r>
      <rPr>
        <sz val="11"/>
        <color theme="1"/>
        <rFont val="Calibri"/>
        <family val="2"/>
        <scheme val="minor"/>
      </rPr>
      <t xml:space="preserve"> :</t>
    </r>
  </si>
  <si>
    <t>Nombre de personnes à charges</t>
  </si>
  <si>
    <t>conjoint touchant moins ue le RSA compris</t>
  </si>
  <si>
    <t>Tranches à majorer par personne à charge :</t>
  </si>
  <si>
    <t>et tous les enfants à charge ou pas</t>
  </si>
  <si>
    <t>Salaire mensuel net</t>
  </si>
  <si>
    <t>Montant de la tranche</t>
  </si>
  <si>
    <t>Tranche salarié</t>
  </si>
  <si>
    <t>Part saisissable</t>
  </si>
  <si>
    <t>Montant saisissable</t>
  </si>
  <si>
    <t>Fraction totalement insaisissable (FTI)</t>
  </si>
  <si>
    <t>Tranches</t>
  </si>
  <si>
    <t xml:space="preserve">De </t>
  </si>
  <si>
    <t>Montant RSA</t>
  </si>
  <si>
    <t>Tranche 1</t>
  </si>
  <si>
    <t>Tranche 2</t>
  </si>
  <si>
    <t>Fraction relativement insaisissable (FRI)</t>
  </si>
  <si>
    <t>Tranche 3</t>
  </si>
  <si>
    <t>Montant</t>
  </si>
  <si>
    <t>Tranche 4</t>
  </si>
  <si>
    <t>Tranche 5</t>
  </si>
  <si>
    <t>Fraction saisissable selon barème (FS)</t>
  </si>
  <si>
    <t>Tranche 6</t>
  </si>
  <si>
    <t>Tranche 7</t>
  </si>
  <si>
    <t>au-delà</t>
  </si>
  <si>
    <t>Total saisie pension alimentaire</t>
  </si>
  <si>
    <t>Total saisie SATD</t>
  </si>
  <si>
    <t>Total saisie</t>
  </si>
  <si>
    <t>Salaire net restant</t>
  </si>
  <si>
    <t>MALADIE NON PROFESSIONNELLE</t>
  </si>
  <si>
    <t xml:space="preserve">Salaire de base </t>
  </si>
  <si>
    <t>méthode de calcul absence</t>
  </si>
  <si>
    <t>réel</t>
  </si>
  <si>
    <t>indiquer "calendaire" ou "réel"</t>
  </si>
  <si>
    <t>Absence pour maladie</t>
  </si>
  <si>
    <t>calendaire</t>
  </si>
  <si>
    <t>nombre de jour dans le mois</t>
  </si>
  <si>
    <t>nombre d'heures dans le mois</t>
  </si>
  <si>
    <t>nombre de jours d'absence</t>
  </si>
  <si>
    <t>nombre d'heures d'absence</t>
  </si>
  <si>
    <t>montant de l'absence</t>
  </si>
  <si>
    <t>Calcul de l'IJSS (indiquer les 3 derniers bruts)</t>
  </si>
  <si>
    <t>Dernier brut</t>
  </si>
  <si>
    <t>Avant dernier brut</t>
  </si>
  <si>
    <t>avant avant dernier brut</t>
  </si>
  <si>
    <t>montant maximum</t>
  </si>
  <si>
    <t>calcul</t>
  </si>
  <si>
    <t>montant IJSS</t>
  </si>
  <si>
    <t>Nombre de jours indemnisés par la sécurité sociale</t>
  </si>
  <si>
    <t>Nombre de jours de maintien légal de salaire par l'employeur</t>
  </si>
  <si>
    <t>nombre d'heures</t>
  </si>
  <si>
    <t>Calcul du maintien légal employeur</t>
  </si>
  <si>
    <t>montant du maintien</t>
  </si>
  <si>
    <t>Montant de la subrogation</t>
  </si>
  <si>
    <t>IJSS subrogée</t>
  </si>
  <si>
    <t>Maintien du salaire brut selon CCN</t>
  </si>
  <si>
    <t>Nombre de jours de carence</t>
  </si>
  <si>
    <t>Nbr d'heures travaillées par jour</t>
  </si>
  <si>
    <t>Pourcentage du maintien</t>
  </si>
  <si>
    <t>Sur l'onglet "Bulletin"</t>
  </si>
  <si>
    <t xml:space="preserve">Maintien légal </t>
  </si>
  <si>
    <t>salaire de base</t>
  </si>
  <si>
    <t>absence maladie</t>
  </si>
  <si>
    <t>maintien employeur</t>
  </si>
  <si>
    <t>IJSS</t>
  </si>
  <si>
    <t>brut</t>
  </si>
  <si>
    <t>bas du bulletin</t>
  </si>
  <si>
    <t>subro</t>
  </si>
  <si>
    <t>date d'entrée</t>
  </si>
  <si>
    <t>Années</t>
  </si>
  <si>
    <t>années sup à 10</t>
  </si>
  <si>
    <t>date de sortie</t>
  </si>
  <si>
    <t>années inf à 10</t>
  </si>
  <si>
    <t>Jours</t>
  </si>
  <si>
    <t>Salaire de référence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</si>
  <si>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</si>
  <si>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</si>
  <si>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</si>
  <si>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</si>
  <si>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</si>
  <si>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</si>
  <si>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</si>
  <si>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</si>
  <si>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</si>
  <si>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</si>
  <si>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Moyenne des 3 derniers mois</t>
  </si>
  <si>
    <t>mois 11</t>
  </si>
  <si>
    <t>mois 12</t>
  </si>
  <si>
    <t>Salaire de référence :</t>
  </si>
  <si>
    <t>Calcul de l'indemnité légale de licenciement</t>
  </si>
  <si>
    <t>Ancienneté supérieure à 10 ans</t>
  </si>
  <si>
    <t>Ancienneté inférieure à 10 ans</t>
  </si>
  <si>
    <t>Sup à 10 ans</t>
  </si>
  <si>
    <t>Inf à 10 ans</t>
  </si>
  <si>
    <t>Indemnité</t>
  </si>
  <si>
    <t>Indémnité</t>
  </si>
  <si>
    <t>Régime fiscal et social indemnité de licenciement</t>
  </si>
  <si>
    <t>Montant exonéré</t>
  </si>
  <si>
    <t>Montant à soumettre</t>
  </si>
  <si>
    <t>impôt sur le revenu</t>
  </si>
  <si>
    <t>Exonération à hauteur du montant le plus élevé</t>
  </si>
  <si>
    <t>Indemnité versée</t>
  </si>
  <si>
    <t>Min montant légal ou conventionnel</t>
  </si>
  <si>
    <t>50% de l'indemnité versée</t>
  </si>
  <si>
    <t>2x rémunération brute annuelle année civile</t>
  </si>
  <si>
    <t>montant le plus élevé</t>
  </si>
  <si>
    <t>exonération max 6x PASS</t>
  </si>
  <si>
    <t>exonération retenue</t>
  </si>
  <si>
    <t>cotisations sociales</t>
  </si>
  <si>
    <t>Fraction exonérée d'impôt et exonérée de CS dans la limite de 2 PASS</t>
  </si>
  <si>
    <t>Exonération retenue</t>
  </si>
  <si>
    <t>CSG/CRDS</t>
  </si>
  <si>
    <t>Montant de l'indemnité légale / conventionnelle</t>
  </si>
  <si>
    <t>à soumettre à 9,70% non déductible</t>
  </si>
  <si>
    <t>Bulletin de paie</t>
  </si>
  <si>
    <t>Salaire brut</t>
  </si>
  <si>
    <t>La rupture conventionnelle</t>
  </si>
  <si>
    <t>Montant de la rupture conventionnelle</t>
  </si>
  <si>
    <t>Indemnité de rupture légale ou conventionnelle</t>
  </si>
  <si>
    <t>Impôt sur le revenu</t>
  </si>
  <si>
    <t>Cotisations sociales</t>
  </si>
  <si>
    <t>Indemnité exonérée dans la limite de 2 x PASS</t>
  </si>
  <si>
    <t>Si l'indemnité &gt; à la limite d'exonération soumettre la différence entre l'indemnité et la limite</t>
  </si>
  <si>
    <t>Même montant d'exonération de cotisations sociales</t>
  </si>
  <si>
    <t>Soumettre le montant soumis à cotisations à CSG/CRDS intégré dans le brut (sans abattement)</t>
  </si>
  <si>
    <t>Montant de l'indemnité &gt; à 2 x PASS</t>
  </si>
  <si>
    <t>L'intégralité de l'indemnité si &lt; à 2 x PASS ; si l'indemnité &gt; 2 x PASS, soumettre 2 x PASS</t>
  </si>
  <si>
    <t>Solde des congés payés</t>
  </si>
  <si>
    <t>jours ouvrables moyens</t>
  </si>
  <si>
    <t>mettre une croix dans la cellule</t>
  </si>
  <si>
    <t>Année de référence</t>
  </si>
  <si>
    <t>N-1</t>
  </si>
  <si>
    <t>N</t>
  </si>
  <si>
    <t>jours ouvrés moyens</t>
  </si>
  <si>
    <t>Congés acquis</t>
  </si>
  <si>
    <t>Congés pris</t>
  </si>
  <si>
    <t>Calcul du maintien</t>
  </si>
  <si>
    <t>Reste</t>
  </si>
  <si>
    <t>Calcul du 10ème</t>
  </si>
  <si>
    <t>Plus avantageux</t>
  </si>
  <si>
    <t>Base CP</t>
  </si>
  <si>
    <t>Absence</t>
  </si>
  <si>
    <t>Nbr de jours de CP</t>
  </si>
  <si>
    <t>Maintien</t>
  </si>
  <si>
    <t xml:space="preserve">10ème </t>
  </si>
  <si>
    <t>Nbr jours CP N-1</t>
  </si>
  <si>
    <t>Plus aventageux</t>
  </si>
  <si>
    <t xml:space="preserve">Nbr jours CP N  </t>
  </si>
  <si>
    <t>Montant ICP</t>
  </si>
  <si>
    <t>Retenue absence CP</t>
  </si>
  <si>
    <t>Indemnité de CP N-1</t>
  </si>
  <si>
    <t>Brut</t>
  </si>
  <si>
    <t>Solde APRES CP</t>
  </si>
  <si>
    <t>AVANTAGE EN NATURE REPAS</t>
  </si>
  <si>
    <t>AVANTAGE EN NATURE LOGEMENT</t>
  </si>
  <si>
    <t>Nature de l'indemnité</t>
  </si>
  <si>
    <t>Limite d'exonération</t>
  </si>
  <si>
    <t>Rémunération brute mensuelle</t>
  </si>
  <si>
    <t>Pour 1 pièce</t>
  </si>
  <si>
    <t>Par pièce principale ( si plusieurs pièces)</t>
  </si>
  <si>
    <t>AN repas (par repas) HCR*</t>
  </si>
  <si>
    <t>Inférieure à</t>
  </si>
  <si>
    <t>AN repas (par jour) HCR</t>
  </si>
  <si>
    <t>2  repas</t>
  </si>
  <si>
    <t>de</t>
  </si>
  <si>
    <t>AN repas (par repas) Hors HCR</t>
  </si>
  <si>
    <t>AN repas (par jour) Hors HCR</t>
  </si>
  <si>
    <t>2 repas</t>
  </si>
  <si>
    <t>*HCR : Hôtels, cafés, restaurants</t>
  </si>
  <si>
    <t>LES TITRES-RESTAURANT</t>
  </si>
  <si>
    <t xml:space="preserve">Pour être exonérée des cotisations , la contribution patronale doit </t>
  </si>
  <si>
    <t xml:space="preserve">être comprise entre 50 et 60% </t>
  </si>
  <si>
    <t xml:space="preserve">Sup ou égal à </t>
  </si>
  <si>
    <t>NOUVELLES TECHNOLOGIES DE L'INFORMATION ET DE LA COMMUNICATION (NTIC)</t>
  </si>
  <si>
    <t>Utilisation à titre privé = avantage en nature</t>
  </si>
  <si>
    <t>Chiffrage sur la base des dépenses réelles</t>
  </si>
  <si>
    <t>Sur la base d'un forfait</t>
  </si>
  <si>
    <t>Lorsque l'employeur opte pour les dépenses réeelement engagées</t>
  </si>
  <si>
    <t>Lorsque l'employeur achète des outils issus des NTIC pour les mettre</t>
  </si>
  <si>
    <t>la présentation de justificatifs (factures) du temps passé par le</t>
  </si>
  <si>
    <t>à la disposition permanente du salarié, l'AN déterminé par l'usage privé de ces outils</t>
  </si>
  <si>
    <t>salarié est demandée</t>
  </si>
  <si>
    <t>est calculé annuellement sur la base forfaitaire de 10% de son coût d'achat public</t>
  </si>
  <si>
    <t xml:space="preserve">Lorsque l'employeur ne peut apporter la preuve des dépenses </t>
  </si>
  <si>
    <t>TTC</t>
  </si>
  <si>
    <t>réellement engagées, l'AN résultant de l'usage privé sera évalué</t>
  </si>
  <si>
    <t>Lorsque l'employeur paie un abonnement pour la location de ces outils et les met</t>
  </si>
  <si>
    <t>à la disposition permanente du salarié, l'AN dégagé par l'usage privé de ces outils</t>
  </si>
  <si>
    <t>se détermine sur la base de 10% du coût annuel de l'abonnement, TTC</t>
  </si>
  <si>
    <t>Lorsque la formule commerciale ne distingue pas l'achat et l'abonnement, le taux</t>
  </si>
  <si>
    <t>de 10 % s'applique au coût total prévu par le contrat.</t>
  </si>
  <si>
    <t>AUTRES AVANTAGES EN NATURE</t>
  </si>
  <si>
    <t>Les fournitures de produits et services réalisés par l'entreprise à des conditions ppréférentielles ne constituent pas des avantages en nature dès lors que</t>
  </si>
  <si>
    <t>leurs réductions tarifaires n'exèdent pas 30% du prix de vente public normal, TTC</t>
  </si>
  <si>
    <t>Lorsque la fourniture est gratuite ou lorsque la remise dépasse 30 % du prix de vente normal, il convient de réintégrer la totalité de l'AN dans l'assiette</t>
  </si>
  <si>
    <t>ALLOCATIONS FORFAITAIRES REPAS</t>
  </si>
  <si>
    <t>Repas restaurant</t>
  </si>
  <si>
    <t>Repas hors des locaux (chantier)</t>
  </si>
  <si>
    <t>Repas dans l'entreprise (panier de jour, de nuit…)</t>
  </si>
  <si>
    <t>ALLOCATIONS FORFAITAIRES GRANDS DEPLACEMENTS</t>
  </si>
  <si>
    <t>Durée</t>
  </si>
  <si>
    <t>Indemnité/ repas</t>
  </si>
  <si>
    <t>Logement et pt déjeuners à Paris et dép. 92, 93 et 94</t>
  </si>
  <si>
    <t>Logement et petit déjeuner dans les autres départements</t>
  </si>
  <si>
    <t>Pour les 3 premiers mois</t>
  </si>
  <si>
    <t>Au-delà de 3 mois et jusqu'à 24 mois</t>
  </si>
  <si>
    <t>Au-delà de 24 mois et jusqu'à 72 mois</t>
  </si>
  <si>
    <t>LIMITE D'EXONERATION DES INDEMNITES TRANSPORT</t>
  </si>
  <si>
    <t>50 % des transports en commun</t>
  </si>
  <si>
    <t xml:space="preserve">500 € par an pour le forfait mobilité durable, si l'entreprise a signé un accord </t>
  </si>
  <si>
    <t>pour les salariés contraints d'utiliser un moyen de transport durable</t>
  </si>
  <si>
    <t>(vélo, covoiturage, service de mobilité partagée)</t>
  </si>
  <si>
    <t>Calcul Acompte</t>
  </si>
  <si>
    <t>Taux de cotisations</t>
  </si>
  <si>
    <t>Montant acompte</t>
  </si>
  <si>
    <t>Calcul Avance</t>
  </si>
  <si>
    <t>Montant avance</t>
  </si>
  <si>
    <t>Convertisseur de minutes en centièmes</t>
  </si>
  <si>
    <t xml:space="preserve">heures </t>
  </si>
  <si>
    <t>minutes</t>
  </si>
  <si>
    <t>centièmes</t>
  </si>
  <si>
    <t>Nombre d'heures hebdomadaire</t>
  </si>
  <si>
    <t>semaine</t>
  </si>
  <si>
    <t>nbr heures</t>
  </si>
  <si>
    <t>maj 25 %</t>
  </si>
  <si>
    <t>maj 50 %</t>
  </si>
  <si>
    <t>total</t>
  </si>
  <si>
    <t xml:space="preserve">Ne pas supprimer </t>
  </si>
  <si>
    <t>Net social</t>
  </si>
  <si>
    <t>Nombre d'heures complémentaires</t>
  </si>
  <si>
    <t>Nombre d'heures complémentaires max</t>
  </si>
  <si>
    <t>HC</t>
  </si>
  <si>
    <t>maj 10 %</t>
  </si>
  <si>
    <t>par semaine</t>
  </si>
  <si>
    <t>Nombre d'HC à majorer à 10 %</t>
  </si>
  <si>
    <t>Autre</t>
  </si>
  <si>
    <t>Taxe d'apprentissage</t>
  </si>
  <si>
    <t>Contrat CDI</t>
  </si>
  <si>
    <t>Contrat CDD</t>
  </si>
  <si>
    <t>Participation à l'effort de construction</t>
  </si>
  <si>
    <t>Réduction Générale</t>
  </si>
  <si>
    <t>Période :</t>
  </si>
  <si>
    <t>Siret :</t>
  </si>
  <si>
    <t>Code NAF :</t>
  </si>
  <si>
    <t>Matricule :</t>
  </si>
  <si>
    <t>N° S.S :</t>
  </si>
  <si>
    <t>Iban / Rib :</t>
  </si>
  <si>
    <t>Emploi :</t>
  </si>
  <si>
    <t>Statut professionnel :</t>
  </si>
  <si>
    <t>Position :</t>
  </si>
  <si>
    <t xml:space="preserve">Niveau : </t>
  </si>
  <si>
    <t>Coefficient :</t>
  </si>
  <si>
    <t>Entrée :</t>
  </si>
  <si>
    <t>Ancienneté :</t>
  </si>
  <si>
    <t>Eléments de paie</t>
  </si>
  <si>
    <t>Base</t>
  </si>
  <si>
    <t>Taux</t>
  </si>
  <si>
    <t>A déduire</t>
  </si>
  <si>
    <t>A payer</t>
  </si>
  <si>
    <t>Charges patronales</t>
  </si>
  <si>
    <t>Santé</t>
  </si>
  <si>
    <t>Sécurité Sociale - Mal. Inval. Décès</t>
  </si>
  <si>
    <t>Mutuelle - complémentaire santé</t>
  </si>
  <si>
    <t>Accident du travail et mal. Pro.</t>
  </si>
  <si>
    <t>Retraite</t>
  </si>
  <si>
    <t>Sécurité sociale plafonnée</t>
  </si>
  <si>
    <t>Sécurité sociale déplafonnée</t>
  </si>
  <si>
    <t>Complément T1</t>
  </si>
  <si>
    <t>Complément T2</t>
  </si>
  <si>
    <t>Famille</t>
  </si>
  <si>
    <t>Assurance chômage</t>
  </si>
  <si>
    <t>Autres contributions</t>
  </si>
  <si>
    <t>Cotis. Statuaires ou prévues par la c.c.</t>
  </si>
  <si>
    <t>NET A PAYER EN EUROS AVANT IMPÔT SUR LE REVENU</t>
  </si>
  <si>
    <t>Net Payé en euros :</t>
  </si>
  <si>
    <t>Net imposable</t>
  </si>
  <si>
    <t>Mensuel</t>
  </si>
  <si>
    <t>Annuel</t>
  </si>
  <si>
    <t>Dans votre intérêt, et pour vous aider à faire valoir vos droits, conservez ce bulletin de paie sans limitation de durée.</t>
  </si>
  <si>
    <t>CSG/CRDS non déduct. de l'impôt sur le revenu</t>
  </si>
  <si>
    <t>Exonérations de cotisations employeur</t>
  </si>
  <si>
    <t>Exonération sociale sur HC/HS</t>
  </si>
  <si>
    <t>Réintégration fiscale</t>
  </si>
  <si>
    <t>Total des cotisations et contributions</t>
  </si>
  <si>
    <t>Montant net social</t>
  </si>
  <si>
    <t>Heures</t>
  </si>
  <si>
    <t>Plafond S.S</t>
  </si>
  <si>
    <t>Contribution d'Equilibre technique</t>
  </si>
  <si>
    <t>Association pour l'emploi des cadres</t>
  </si>
  <si>
    <t xml:space="preserve">Total versé </t>
  </si>
  <si>
    <t>Ch. Patronales</t>
  </si>
  <si>
    <t xml:space="preserve">Avance </t>
  </si>
  <si>
    <t>Reprise titres restaurant part patronale</t>
  </si>
  <si>
    <t>Reprise titres restaurant part salariale</t>
  </si>
  <si>
    <t>CFP - CDD</t>
  </si>
  <si>
    <t>CFP formation professionnelle</t>
  </si>
  <si>
    <t>CDD court</t>
  </si>
  <si>
    <t>Viellesse plafonnée</t>
  </si>
  <si>
    <t>Décompte des heures supplémentaires pour un 35h/semaine</t>
  </si>
  <si>
    <t>Décompte des heures complémentaires</t>
  </si>
  <si>
    <t>Décompte des heures contractuelles (structurelles)</t>
  </si>
  <si>
    <t>Nombre d'heures hebdomadaires</t>
  </si>
  <si>
    <t>Nombre d'heures en plus/semaine</t>
  </si>
  <si>
    <t>heures contractuelles/mois 25%</t>
  </si>
  <si>
    <t>Calcul "à l'envers du taux horaire en cas d'heures contractuelles</t>
  </si>
  <si>
    <t>Salaire total Heures légales + H contrac.</t>
  </si>
  <si>
    <t>Taux horaire pour 151,67</t>
  </si>
  <si>
    <t>Soit salaire mensuel pour 151,67</t>
  </si>
  <si>
    <t>Pour 35 heures/semaine</t>
  </si>
  <si>
    <t>Pour un temps partiel</t>
  </si>
  <si>
    <t>Au-delà de 35h contractuelles</t>
  </si>
  <si>
    <t>Si base en rouge : Attention à faire une régularisation base CSG/CRDS si besoin</t>
  </si>
  <si>
    <t xml:space="preserve">Janvier </t>
  </si>
  <si>
    <t>Nb heures mensuelle</t>
  </si>
  <si>
    <t>Nb heures absence</t>
  </si>
  <si>
    <t>Montant absence</t>
  </si>
  <si>
    <t>Nb Heures suppl. 25% + 50 %</t>
  </si>
  <si>
    <t>Montant H suppl. 25% + 50%</t>
  </si>
  <si>
    <t xml:space="preserve">Primes </t>
  </si>
  <si>
    <t>Brut cumul</t>
  </si>
  <si>
    <t>Totaux</t>
  </si>
  <si>
    <t>NE PAS INDIQUER LES CP EN ABSENCE</t>
  </si>
  <si>
    <t>Maladie AVEC maintien de salaire : faire la différence brut et base et indiquer le montant dans la case montant de l'absence (rien dans la colonne bleue)</t>
  </si>
  <si>
    <t>Brut normal hors HS fonction présence</t>
  </si>
  <si>
    <t>Brut hors HS fonction présence</t>
  </si>
  <si>
    <t>Calcul Smic RG par mois</t>
  </si>
  <si>
    <t>Smic RG cumulé</t>
  </si>
  <si>
    <t>Réduction retenue</t>
  </si>
  <si>
    <t>Montant RG pour l'année</t>
  </si>
  <si>
    <t>Calcul de la réduction cumulée</t>
  </si>
  <si>
    <t>Cotisations et contributions sociales facultatives</t>
  </si>
  <si>
    <t>Prévoyance, Incapacité, Invalidité, Décès, Autres</t>
  </si>
  <si>
    <t>Retraite supplémentaire</t>
  </si>
  <si>
    <t>Remboursements et déductions diverses</t>
  </si>
  <si>
    <t>CSG déduct. de l'impôt sur le revenu</t>
  </si>
  <si>
    <t>Montant net imposable</t>
  </si>
  <si>
    <t>Montant net des HC/HS/RTT exonérées</t>
  </si>
  <si>
    <t>Impôt sur le revenu prélevé à la source</t>
  </si>
  <si>
    <t>Informations complémtenaires : www.service-public.fr</t>
  </si>
  <si>
    <t>Montants année précédente (décembre)</t>
  </si>
  <si>
    <t>Net à payer avant impôt</t>
  </si>
  <si>
    <t>Réduction d'un demi smic pour CDD court</t>
  </si>
  <si>
    <t>Part Urssaf - Chômage</t>
  </si>
  <si>
    <t>comme en G42</t>
  </si>
  <si>
    <t>comme en H42</t>
  </si>
  <si>
    <t>Nombre d'heures mensuelles</t>
  </si>
  <si>
    <t>RETENUES PATRONALES</t>
  </si>
  <si>
    <t>Versement mobilité</t>
  </si>
  <si>
    <t>Allocations familiales</t>
  </si>
  <si>
    <t>CSG/CRDS sur HS/HC</t>
  </si>
  <si>
    <t>Prélèvement à la source (PAS)</t>
  </si>
  <si>
    <t>Coût employeur :</t>
  </si>
  <si>
    <t>maladie</t>
  </si>
  <si>
    <t>attention ajouter manuellement les taux T2</t>
  </si>
  <si>
    <t>Maintien du net habituel</t>
  </si>
  <si>
    <t>Maintien brut selon CCN</t>
  </si>
  <si>
    <t>Maintien du net strict</t>
  </si>
  <si>
    <t>Cette partie ci-dessous n'apparait pas sur le bulletin</t>
  </si>
  <si>
    <t>Net habituel</t>
  </si>
  <si>
    <t>Remboursement de frais</t>
  </si>
  <si>
    <t xml:space="preserve">Assurance maladie </t>
  </si>
  <si>
    <t xml:space="preserve">Allocations familiales </t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</si>
  <si>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(moins de 11 salariés)</t>
    </r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</si>
  <si>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(plus de 11 salariés)</t>
    </r>
  </si>
  <si>
    <r>
      <t xml:space="preserve">CFP Formation professionnelle CDD </t>
    </r>
    <r>
      <rPr>
        <sz val="11"/>
        <color rgb="FF0070C0"/>
        <rFont val="Calibri"/>
        <family val="2"/>
        <scheme val="minor"/>
      </rPr>
      <t>(CDD uniquement)</t>
    </r>
  </si>
  <si>
    <r>
      <t xml:space="preserve">Participation à l'effort de construction </t>
    </r>
    <r>
      <rPr>
        <sz val="11"/>
        <color rgb="FF0070C0"/>
        <rFont val="Calibri"/>
        <family val="2"/>
        <scheme val="minor"/>
      </rPr>
      <t>(plus de 50 salariés)</t>
    </r>
  </si>
  <si>
    <t>AUTRES</t>
  </si>
  <si>
    <t>régularisations</t>
  </si>
  <si>
    <t>Base chômage</t>
  </si>
  <si>
    <t>Assiette max chômage</t>
  </si>
  <si>
    <t>Brut réel</t>
  </si>
  <si>
    <t>Brut du mois (sans primes non prises en compte)</t>
  </si>
  <si>
    <t xml:space="preserve">Primes non prises en compte dans le caclul </t>
  </si>
  <si>
    <t>Limite 2,25 fois le SMIC</t>
  </si>
  <si>
    <t>Limite 3,3 fois le SMIC</t>
  </si>
  <si>
    <t>Taux FNAL</t>
  </si>
  <si>
    <t>Valeur de Tmin</t>
  </si>
  <si>
    <t>Valeur de Tdelta</t>
  </si>
  <si>
    <t>Valeur de Tmax(1)</t>
  </si>
  <si>
    <r>
      <t xml:space="preserve">Coeff RGDU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</si>
  <si>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Coeff RGDU </t>
    </r>
    <r>
      <rPr>
        <sz val="11"/>
        <color rgb="FF0070C0"/>
        <rFont val="Calibri"/>
        <family val="2"/>
        <scheme val="minor"/>
      </rPr>
      <t>(plus de 50 salariés)</t>
    </r>
  </si>
  <si>
    <t>Limite 1,4 fois le SMIC</t>
  </si>
  <si>
    <t>Régul - RG</t>
  </si>
  <si>
    <t>Calcul de la RGDU</t>
  </si>
  <si>
    <t>AM</t>
  </si>
  <si>
    <t>vieillesse plafonnée</t>
  </si>
  <si>
    <t>vieillesse déplafonnée</t>
  </si>
  <si>
    <t>AF</t>
  </si>
  <si>
    <t>AT/MP</t>
  </si>
  <si>
    <t>FNAL</t>
  </si>
  <si>
    <t>CSA</t>
  </si>
  <si>
    <t>Agirc-Arrco</t>
  </si>
  <si>
    <t>chômage</t>
  </si>
  <si>
    <t>Tmin</t>
  </si>
  <si>
    <t>BAREME TAUX NEUTRE 2026</t>
  </si>
  <si>
    <t>Taux versement mobilité</t>
  </si>
  <si>
    <t>Taux AT/MP</t>
  </si>
  <si>
    <r>
      <t xml:space="preserve">Versement mobilité </t>
    </r>
    <r>
      <rPr>
        <sz val="11"/>
        <color rgb="FF0070C0"/>
        <rFont val="Calibri"/>
        <family val="2"/>
        <scheme val="minor"/>
      </rPr>
      <t>(à partir de 11 salariés - variable par ville)</t>
    </r>
  </si>
  <si>
    <t>CHOMAGE</t>
  </si>
  <si>
    <t>Contribution patronale 40 %</t>
  </si>
  <si>
    <t>Tranche 1 du mois</t>
  </si>
  <si>
    <t>Tranche 2/B du mois</t>
  </si>
  <si>
    <t>TB/2</t>
  </si>
  <si>
    <t>TB/2 CUMUL</t>
  </si>
  <si>
    <t>TB/2 si dépassement cumul</t>
  </si>
  <si>
    <t>Congés N-1</t>
  </si>
  <si>
    <t>Congés N</t>
  </si>
  <si>
    <t>Acquis</t>
  </si>
  <si>
    <t>Pris</t>
  </si>
  <si>
    <t>Solde</t>
  </si>
  <si>
    <t>INDEMNITE FORFAITAIRE DE TELETRAVAIL</t>
  </si>
  <si>
    <t>Indemnité non prévue par un accord collectif</t>
  </si>
  <si>
    <t>par jour de télétravail</t>
  </si>
  <si>
    <t>par mois, selon le nbr de jours/semaine</t>
  </si>
  <si>
    <t>2,7 € dans la limite de 59,40 €/ mois</t>
  </si>
  <si>
    <t>11 € pour 1 jour de télétravail</t>
  </si>
  <si>
    <t>indemnité prévue par CCN</t>
  </si>
  <si>
    <t>3,3 € dans la limite de 72,60 €/ mois</t>
  </si>
  <si>
    <t>13,20  pour 1 jour de télétravail</t>
  </si>
  <si>
    <t>INDEMNITE FORFAITAIRE UTILISATION MATERIEL INFORMATIQUE APPARTENANT AU SALARIE</t>
  </si>
  <si>
    <t>Utilisation du matériel informatique du salarié</t>
  </si>
  <si>
    <t>55,20 € mensuel</t>
  </si>
  <si>
    <t>Taux réduit</t>
  </si>
  <si>
    <t xml:space="preserve">Part principale apprentissage </t>
  </si>
  <si>
    <t>Solde apprentissage</t>
  </si>
  <si>
    <t xml:space="preserve">Montant </t>
  </si>
  <si>
    <t>Particularités pour les véhicules 100 % électriques</t>
  </si>
  <si>
    <t>Vous utilisez le barème ci-dessus auquel vous appliquez une réduction de 50 %, dans la limite de 2 026,30 € par an en 2026</t>
  </si>
  <si>
    <t>Les frais d'électricité pris en charge par l'employeur n'entrent pas en compte dans le calcul de l'avantage en nature</t>
  </si>
  <si>
    <t>Pension alimentaire à verser :</t>
  </si>
  <si>
    <t>AVANTAGE EN NATURE VEHICULE</t>
  </si>
  <si>
    <t>Ü</t>
  </si>
  <si>
    <t>Si montant nul, saisir montant IR</t>
  </si>
  <si>
    <t>SMIC</t>
  </si>
  <si>
    <t>L'exonération de cotisations sociales = le montant exonéré d'impôt sur le revenu</t>
  </si>
  <si>
    <t>dans la limite de 2 PASS</t>
  </si>
  <si>
    <t>Tant que l'exonération fiscale ne dépasse pas 2 PASS, les deux montants sont identiques</t>
  </si>
  <si>
    <t>Min garanti</t>
  </si>
  <si>
    <t>AN repas HCR</t>
  </si>
  <si>
    <t>RSA</t>
  </si>
  <si>
    <t>Prévoyance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</si>
</sst>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"/>
    <numFmt numFmtId="166" formatCode="_-* #,##0.00\ [$€-40C]_-;\-* #,##0.00\ [$€-40C]_-;_-* &quot;-&quot;??\ [$€-40C]_-;_-@_-"/>
    <numFmt numFmtId="167" formatCode="_-* #,##0.00\ _€_-;\-* #,##0.00\ _€_-;_-* &quot;-&quot;??\ _€_-;_-@_-"/>
    <numFmt numFmtId="168" formatCode="0.0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36"/>
      <color theme="1"/>
      <name val="Wingdings"/>
      <charset val="2"/>
    </font>
  </fonts>
  <fills count="3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4" borderId="0" xfId="0" applyFill="1"/>
    <xf numFmtId="0" fontId="0" fillId="4" borderId="9" xfId="0" applyFill="1" applyBorder="1"/>
    <xf numFmtId="0" fontId="0" fillId="5" borderId="0" xfId="0" applyFill="1"/>
    <xf numFmtId="0" fontId="0" fillId="5" borderId="9" xfId="0" applyFill="1" applyBorder="1"/>
    <xf numFmtId="0" fontId="0" fillId="6" borderId="0" xfId="0" applyFill="1"/>
    <xf numFmtId="0" fontId="0" fillId="6" borderId="9" xfId="0" applyFill="1" applyBorder="1"/>
    <xf numFmtId="0" fontId="0" fillId="7" borderId="0" xfId="0" applyFill="1"/>
    <xf numFmtId="0" fontId="0" fillId="8" borderId="10" xfId="0" applyFill="1" applyBorder="1"/>
    <xf numFmtId="0" fontId="1" fillId="8" borderId="10" xfId="0" applyFont="1" applyFill="1" applyBorder="1" applyAlignment="1">
      <alignment horizontal="center" vertical="center"/>
    </xf>
    <xf numFmtId="10" fontId="0" fillId="9" borderId="9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10" fontId="0" fillId="9" borderId="18" xfId="0" applyNumberFormat="1" applyFill="1" applyBorder="1"/>
    <xf numFmtId="0" fontId="0" fillId="2" borderId="0" xfId="0" applyFill="1" applyAlignment="1">
      <alignment horizontal="left"/>
    </xf>
    <xf numFmtId="0" fontId="0" fillId="8" borderId="22" xfId="0" applyFill="1" applyBorder="1"/>
    <xf numFmtId="0" fontId="0" fillId="8" borderId="0" xfId="0" applyFill="1"/>
    <xf numFmtId="0" fontId="6" fillId="0" borderId="10" xfId="0" applyFont="1" applyBorder="1" applyAlignment="1">
      <alignment horizontal="center" vertical="center"/>
    </xf>
    <xf numFmtId="0" fontId="0" fillId="8" borderId="8" xfId="0" applyFill="1" applyBorder="1"/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10" fontId="0" fillId="8" borderId="8" xfId="0" applyNumberFormat="1" applyFill="1" applyBorder="1"/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23" xfId="0" applyFill="1" applyBorder="1"/>
    <xf numFmtId="10" fontId="0" fillId="8" borderId="23" xfId="0" applyNumberFormat="1" applyFill="1" applyBorder="1"/>
    <xf numFmtId="10" fontId="0" fillId="8" borderId="3" xfId="0" applyNumberFormat="1" applyFill="1" applyBorder="1"/>
    <xf numFmtId="164" fontId="0" fillId="8" borderId="8" xfId="0" applyNumberFormat="1" applyFill="1" applyBorder="1"/>
    <xf numFmtId="0" fontId="1" fillId="8" borderId="0" xfId="0" applyFont="1" applyFill="1"/>
    <xf numFmtId="43" fontId="0" fillId="8" borderId="8" xfId="1" applyFont="1" applyFill="1" applyBorder="1"/>
    <xf numFmtId="0" fontId="0" fillId="0" borderId="8" xfId="0" applyBorder="1"/>
    <xf numFmtId="43" fontId="0" fillId="0" borderId="8" xfId="1" applyFont="1" applyFill="1" applyBorder="1"/>
    <xf numFmtId="0" fontId="1" fillId="7" borderId="0" xfId="0" applyFont="1" applyFill="1"/>
    <xf numFmtId="0" fontId="0" fillId="10" borderId="9" xfId="0" applyFill="1" applyBorder="1"/>
    <xf numFmtId="2" fontId="1" fillId="7" borderId="24" xfId="0" applyNumberFormat="1" applyFont="1" applyFill="1" applyBorder="1"/>
    <xf numFmtId="2" fontId="0" fillId="8" borderId="8" xfId="0" applyNumberFormat="1" applyFill="1" applyBorder="1"/>
    <xf numFmtId="0" fontId="1" fillId="8" borderId="8" xfId="0" applyFont="1" applyFill="1" applyBorder="1"/>
    <xf numFmtId="0" fontId="0" fillId="8" borderId="13" xfId="0" applyFill="1" applyBorder="1"/>
    <xf numFmtId="43" fontId="0" fillId="10" borderId="9" xfId="1" applyFont="1" applyFill="1" applyBorder="1"/>
    <xf numFmtId="0" fontId="1" fillId="8" borderId="25" xfId="0" applyFont="1" applyFill="1" applyBorder="1"/>
    <xf numFmtId="0" fontId="0" fillId="8" borderId="26" xfId="0" applyFill="1" applyBorder="1"/>
    <xf numFmtId="44" fontId="0" fillId="0" borderId="0" xfId="2" applyFont="1" applyFill="1" applyBorder="1"/>
    <xf numFmtId="0" fontId="9" fillId="0" borderId="0" xfId="0" applyFont="1"/>
    <xf numFmtId="0" fontId="1" fillId="8" borderId="26" xfId="0" applyFont="1" applyFill="1" applyBorder="1"/>
    <xf numFmtId="0" fontId="1" fillId="8" borderId="22" xfId="0" applyFont="1" applyFill="1" applyBorder="1"/>
    <xf numFmtId="0" fontId="1" fillId="8" borderId="4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2" fontId="0" fillId="8" borderId="0" xfId="0" applyNumberFormat="1" applyFill="1"/>
    <xf numFmtId="2" fontId="0" fillId="8" borderId="27" xfId="0" applyNumberFormat="1" applyFill="1" applyBorder="1"/>
    <xf numFmtId="0" fontId="0" fillId="0" borderId="10" xfId="0" applyBorder="1"/>
    <xf numFmtId="0" fontId="0" fillId="8" borderId="4" xfId="0" applyFill="1" applyBorder="1"/>
    <xf numFmtId="2" fontId="15" fillId="8" borderId="10" xfId="0" applyNumberFormat="1" applyFont="1" applyFill="1" applyBorder="1"/>
    <xf numFmtId="0" fontId="0" fillId="8" borderId="12" xfId="0" applyFill="1" applyBorder="1"/>
    <xf numFmtId="0" fontId="1" fillId="0" borderId="10" xfId="0" applyFont="1" applyBorder="1"/>
    <xf numFmtId="2" fontId="0" fillId="8" borderId="10" xfId="0" applyNumberFormat="1" applyFill="1" applyBorder="1"/>
    <xf numFmtId="2" fontId="1" fillId="8" borderId="10" xfId="0" applyNumberFormat="1" applyFont="1" applyFill="1" applyBorder="1"/>
    <xf numFmtId="2" fontId="1" fillId="8" borderId="0" xfId="0" applyNumberFormat="1" applyFont="1" applyFill="1"/>
    <xf numFmtId="0" fontId="0" fillId="8" borderId="11" xfId="0" applyFill="1" applyBorder="1"/>
    <xf numFmtId="3" fontId="1" fillId="8" borderId="0" xfId="0" applyNumberFormat="1" applyFont="1" applyFill="1"/>
    <xf numFmtId="0" fontId="13" fillId="0" borderId="10" xfId="0" applyFont="1" applyBorder="1"/>
    <xf numFmtId="43" fontId="13" fillId="0" borderId="10" xfId="0" applyNumberFormat="1" applyFont="1" applyBorder="1"/>
    <xf numFmtId="0" fontId="16" fillId="8" borderId="10" xfId="0" applyFont="1" applyFill="1" applyBorder="1"/>
    <xf numFmtId="2" fontId="6" fillId="8" borderId="10" xfId="0" applyNumberFormat="1" applyFont="1" applyFill="1" applyBorder="1"/>
    <xf numFmtId="2" fontId="0" fillId="8" borderId="3" xfId="0" applyNumberFormat="1" applyFill="1" applyBorder="1"/>
    <xf numFmtId="2" fontId="0" fillId="8" borderId="28" xfId="0" applyNumberFormat="1" applyFill="1" applyBorder="1"/>
    <xf numFmtId="10" fontId="0" fillId="8" borderId="13" xfId="0" applyNumberFormat="1" applyFill="1" applyBorder="1"/>
    <xf numFmtId="10" fontId="0" fillId="0" borderId="10" xfId="0" applyNumberFormat="1" applyBorder="1"/>
    <xf numFmtId="10" fontId="0" fillId="9" borderId="10" xfId="0" applyNumberFormat="1" applyFill="1" applyBorder="1"/>
    <xf numFmtId="10" fontId="0" fillId="0" borderId="10" xfId="3" applyNumberFormat="1" applyFont="1" applyBorder="1"/>
    <xf numFmtId="10" fontId="1" fillId="8" borderId="8" xfId="3" applyNumberFormat="1" applyFont="1" applyFill="1" applyBorder="1"/>
    <xf numFmtId="0" fontId="0" fillId="10" borderId="10" xfId="0" applyFill="1" applyBorder="1" applyAlignment="1">
      <alignment horizontal="center" vertical="center" wrapText="1"/>
    </xf>
    <xf numFmtId="2" fontId="0" fillId="0" borderId="10" xfId="0" applyNumberFormat="1" applyBorder="1"/>
    <xf numFmtId="2" fontId="0" fillId="9" borderId="10" xfId="0" applyNumberFormat="1" applyFill="1" applyBorder="1"/>
    <xf numFmtId="2" fontId="0" fillId="11" borderId="10" xfId="0" applyNumberFormat="1" applyFill="1" applyBorder="1"/>
    <xf numFmtId="2" fontId="0" fillId="4" borderId="10" xfId="0" applyNumberFormat="1" applyFill="1" applyBorder="1"/>
    <xf numFmtId="0" fontId="0" fillId="5" borderId="10" xfId="0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/>
    <xf numFmtId="0" fontId="0" fillId="5" borderId="10" xfId="0" applyFill="1" applyBorder="1"/>
    <xf numFmtId="0" fontId="12" fillId="0" borderId="0" xfId="0" applyFont="1"/>
    <xf numFmtId="0" fontId="0" fillId="9" borderId="10" xfId="0" applyFill="1" applyBorder="1"/>
    <xf numFmtId="10" fontId="0" fillId="0" borderId="10" xfId="0" applyNumberFormat="1" applyBorder="1" applyAlignment="1">
      <alignment wrapText="1"/>
    </xf>
    <xf numFmtId="2" fontId="1" fillId="12" borderId="10" xfId="0" applyNumberFormat="1" applyFont="1" applyFill="1" applyBorder="1"/>
    <xf numFmtId="2" fontId="15" fillId="5" borderId="10" xfId="0" applyNumberFormat="1" applyFont="1" applyFill="1" applyBorder="1"/>
    <xf numFmtId="2" fontId="1" fillId="5" borderId="10" xfId="0" applyNumberFormat="1" applyFont="1" applyFill="1" applyBorder="1"/>
    <xf numFmtId="2" fontId="1" fillId="5" borderId="10" xfId="0" applyNumberFormat="1" applyFont="1" applyFill="1" applyBorder="1" applyAlignment="1">
      <alignment horizontal="left"/>
    </xf>
    <xf numFmtId="2" fontId="1" fillId="5" borderId="10" xfId="0" applyNumberFormat="1" applyFont="1" applyFill="1" applyBorder="1" applyAlignment="1">
      <alignment horizontal="right"/>
    </xf>
    <xf numFmtId="0" fontId="18" fillId="0" borderId="0" xfId="0" applyFont="1"/>
    <xf numFmtId="0" fontId="0" fillId="13" borderId="0" xfId="0" applyFill="1"/>
    <xf numFmtId="9" fontId="0" fillId="9" borderId="10" xfId="0" applyNumberFormat="1" applyFill="1" applyBorder="1"/>
    <xf numFmtId="0" fontId="1" fillId="0" borderId="0" xfId="0" applyFont="1"/>
    <xf numFmtId="2" fontId="1" fillId="0" borderId="10" xfId="0" applyNumberFormat="1" applyFont="1" applyBorder="1"/>
    <xf numFmtId="0" fontId="0" fillId="17" borderId="10" xfId="0" applyFill="1" applyBorder="1"/>
    <xf numFmtId="14" fontId="0" fillId="9" borderId="10" xfId="0" applyNumberFormat="1" applyFill="1" applyBorder="1"/>
    <xf numFmtId="0" fontId="0" fillId="0" borderId="23" xfId="0" applyBorder="1"/>
    <xf numFmtId="0" fontId="0" fillId="0" borderId="29" xfId="0" applyBorder="1"/>
    <xf numFmtId="0" fontId="0" fillId="0" borderId="31" xfId="0" applyBorder="1"/>
    <xf numFmtId="0" fontId="0" fillId="0" borderId="19" xfId="0" applyBorder="1"/>
    <xf numFmtId="2" fontId="0" fillId="0" borderId="28" xfId="0" applyNumberFormat="1" applyBorder="1"/>
    <xf numFmtId="2" fontId="0" fillId="0" borderId="11" xfId="0" applyNumberFormat="1" applyBorder="1"/>
    <xf numFmtId="2" fontId="1" fillId="0" borderId="9" xfId="0" applyNumberFormat="1" applyFont="1" applyBorder="1"/>
    <xf numFmtId="0" fontId="1" fillId="8" borderId="33" xfId="0" applyFont="1" applyFill="1" applyBorder="1"/>
    <xf numFmtId="0" fontId="1" fillId="0" borderId="34" xfId="0" applyFont="1" applyBorder="1"/>
    <xf numFmtId="0" fontId="1" fillId="8" borderId="35" xfId="0" applyFont="1" applyFill="1" applyBorder="1"/>
    <xf numFmtId="0" fontId="1" fillId="8" borderId="34" xfId="0" applyFont="1" applyFill="1" applyBorder="1"/>
    <xf numFmtId="0" fontId="0" fillId="8" borderId="36" xfId="0" applyFill="1" applyBorder="1"/>
    <xf numFmtId="0" fontId="0" fillId="8" borderId="37" xfId="0" applyFill="1" applyBorder="1"/>
    <xf numFmtId="0" fontId="0" fillId="8" borderId="38" xfId="0" applyFill="1" applyBorder="1"/>
    <xf numFmtId="2" fontId="0" fillId="0" borderId="39" xfId="0" applyNumberFormat="1" applyBorder="1"/>
    <xf numFmtId="0" fontId="0" fillId="8" borderId="40" xfId="0" applyFill="1" applyBorder="1"/>
    <xf numFmtId="2" fontId="1" fillId="9" borderId="9" xfId="0" applyNumberFormat="1" applyFont="1" applyFill="1" applyBorder="1"/>
    <xf numFmtId="2" fontId="0" fillId="0" borderId="2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1" fillId="19" borderId="10" xfId="0" applyNumberFormat="1" applyFont="1" applyFill="1" applyBorder="1"/>
    <xf numFmtId="0" fontId="0" fillId="2" borderId="10" xfId="0" applyFill="1" applyBorder="1"/>
    <xf numFmtId="0" fontId="1" fillId="9" borderId="10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2" fontId="19" fillId="8" borderId="0" xfId="0" applyNumberFormat="1" applyFont="1" applyFill="1" applyAlignment="1">
      <alignment horizontal="right"/>
    </xf>
    <xf numFmtId="2" fontId="19" fillId="8" borderId="0" xfId="0" applyNumberFormat="1" applyFont="1" applyFill="1"/>
    <xf numFmtId="0" fontId="0" fillId="17" borderId="25" xfId="0" applyFill="1" applyBorder="1"/>
    <xf numFmtId="0" fontId="0" fillId="17" borderId="26" xfId="0" applyFill="1" applyBorder="1"/>
    <xf numFmtId="0" fontId="0" fillId="17" borderId="22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5" xfId="0" applyFill="1" applyBorder="1" applyAlignment="1">
      <alignment horizontal="left"/>
    </xf>
    <xf numFmtId="2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22" xfId="0" applyFill="1" applyBorder="1"/>
    <xf numFmtId="2" fontId="0" fillId="12" borderId="10" xfId="0" applyNumberFormat="1" applyFill="1" applyBorder="1"/>
    <xf numFmtId="0" fontId="0" fillId="5" borderId="8" xfId="0" applyFill="1" applyBorder="1"/>
    <xf numFmtId="0" fontId="0" fillId="12" borderId="4" xfId="0" applyFill="1" applyBorder="1"/>
    <xf numFmtId="0" fontId="0" fillId="12" borderId="0" xfId="0" applyFill="1"/>
    <xf numFmtId="0" fontId="0" fillId="12" borderId="11" xfId="0" applyFill="1" applyBorder="1"/>
    <xf numFmtId="0" fontId="0" fillId="12" borderId="12" xfId="0" applyFill="1" applyBorder="1"/>
    <xf numFmtId="0" fontId="15" fillId="0" borderId="0" xfId="0" applyFont="1"/>
    <xf numFmtId="0" fontId="0" fillId="17" borderId="1" xfId="0" applyFill="1" applyBorder="1"/>
    <xf numFmtId="0" fontId="0" fillId="17" borderId="0" xfId="0" applyFill="1"/>
    <xf numFmtId="0" fontId="0" fillId="17" borderId="2" xfId="0" applyFill="1" applyBorder="1"/>
    <xf numFmtId="0" fontId="0" fillId="17" borderId="3" xfId="0" applyFill="1" applyBorder="1"/>
    <xf numFmtId="0" fontId="0" fillId="17" borderId="11" xfId="0" applyFill="1" applyBorder="1"/>
    <xf numFmtId="0" fontId="0" fillId="17" borderId="12" xfId="0" applyFill="1" applyBorder="1"/>
    <xf numFmtId="0" fontId="0" fillId="5" borderId="11" xfId="0" applyFill="1" applyBorder="1" applyAlignment="1">
      <alignment horizontal="left"/>
    </xf>
    <xf numFmtId="2" fontId="0" fillId="5" borderId="12" xfId="0" applyNumberFormat="1" applyFill="1" applyBorder="1"/>
    <xf numFmtId="0" fontId="0" fillId="5" borderId="12" xfId="0" applyFill="1" applyBorder="1" applyAlignment="1">
      <alignment horizontal="center"/>
    </xf>
    <xf numFmtId="0" fontId="0" fillId="5" borderId="13" xfId="0" applyFill="1" applyBorder="1"/>
    <xf numFmtId="0" fontId="0" fillId="12" borderId="1" xfId="0" applyFill="1" applyBorder="1"/>
    <xf numFmtId="0" fontId="0" fillId="12" borderId="3" xfId="0" applyFill="1" applyBorder="1"/>
    <xf numFmtId="0" fontId="0" fillId="12" borderId="8" xfId="0" applyFill="1" applyBorder="1"/>
    <xf numFmtId="0" fontId="0" fillId="5" borderId="11" xfId="0" applyFill="1" applyBorder="1"/>
    <xf numFmtId="0" fontId="0" fillId="5" borderId="12" xfId="0" applyFill="1" applyBorder="1"/>
    <xf numFmtId="0" fontId="0" fillId="12" borderId="13" xfId="0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8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25" xfId="0" applyFill="1" applyBorder="1"/>
    <xf numFmtId="0" fontId="0" fillId="13" borderId="26" xfId="0" applyFill="1" applyBorder="1"/>
    <xf numFmtId="0" fontId="0" fillId="13" borderId="22" xfId="0" applyFill="1" applyBorder="1"/>
    <xf numFmtId="0" fontId="0" fillId="12" borderId="10" xfId="0" applyFill="1" applyBorder="1" applyAlignment="1">
      <alignment vertical="center" wrapText="1"/>
    </xf>
    <xf numFmtId="0" fontId="20" fillId="12" borderId="10" xfId="0" applyFont="1" applyFill="1" applyBorder="1" applyAlignment="1">
      <alignment vertical="center" wrapText="1"/>
    </xf>
    <xf numFmtId="0" fontId="21" fillId="12" borderId="10" xfId="0" applyFont="1" applyFill="1" applyBorder="1" applyAlignment="1">
      <alignment vertical="center" wrapText="1"/>
    </xf>
    <xf numFmtId="0" fontId="1" fillId="25" borderId="25" xfId="0" applyFont="1" applyFill="1" applyBorder="1"/>
    <xf numFmtId="0" fontId="0" fillId="25" borderId="26" xfId="0" applyFill="1" applyBorder="1"/>
    <xf numFmtId="0" fontId="0" fillId="25" borderId="22" xfId="0" applyFill="1" applyBorder="1"/>
    <xf numFmtId="0" fontId="0" fillId="25" borderId="4" xfId="0" applyFill="1" applyBorder="1"/>
    <xf numFmtId="0" fontId="0" fillId="25" borderId="0" xfId="0" applyFill="1"/>
    <xf numFmtId="0" fontId="0" fillId="25" borderId="8" xfId="0" applyFill="1" applyBorder="1"/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1" fillId="26" borderId="0" xfId="0" applyFont="1" applyFill="1"/>
    <xf numFmtId="0" fontId="0" fillId="26" borderId="0" xfId="0" applyFill="1"/>
    <xf numFmtId="10" fontId="0" fillId="26" borderId="10" xfId="3" applyNumberFormat="1" applyFont="1" applyFill="1" applyBorder="1"/>
    <xf numFmtId="2" fontId="1" fillId="26" borderId="10" xfId="0" applyNumberFormat="1" applyFont="1" applyFill="1" applyBorder="1"/>
    <xf numFmtId="0" fontId="1" fillId="6" borderId="0" xfId="0" applyFont="1" applyFill="1"/>
    <xf numFmtId="2" fontId="1" fillId="6" borderId="10" xfId="0" applyNumberFormat="1" applyFont="1" applyFill="1" applyBorder="1"/>
    <xf numFmtId="2" fontId="1" fillId="13" borderId="10" xfId="0" applyNumberFormat="1" applyFont="1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9" borderId="0" xfId="0" applyFont="1" applyFill="1"/>
    <xf numFmtId="2" fontId="16" fillId="5" borderId="10" xfId="0" applyNumberFormat="1" applyFont="1" applyFill="1" applyBorder="1"/>
    <xf numFmtId="2" fontId="22" fillId="5" borderId="10" xfId="0" applyNumberFormat="1" applyFont="1" applyFill="1" applyBorder="1"/>
    <xf numFmtId="0" fontId="8" fillId="0" borderId="0" xfId="0" applyFont="1"/>
    <xf numFmtId="0" fontId="0" fillId="9" borderId="14" xfId="0" quotePrefix="1" applyFill="1" applyBorder="1"/>
    <xf numFmtId="0" fontId="1" fillId="8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9" fontId="22" fillId="0" borderId="0" xfId="0" applyNumberFormat="1" applyFont="1"/>
    <xf numFmtId="44" fontId="22" fillId="0" borderId="0" xfId="2" applyFont="1" applyFill="1" applyBorder="1"/>
    <xf numFmtId="0" fontId="28" fillId="8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9" fillId="28" borderId="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0" fontId="26" fillId="28" borderId="0" xfId="0" applyFont="1" applyFill="1" applyAlignment="1">
      <alignment horizontal="center" vertical="center"/>
    </xf>
    <xf numFmtId="2" fontId="26" fillId="8" borderId="27" xfId="0" applyNumberFormat="1" applyFont="1" applyFill="1" applyBorder="1" applyAlignment="1">
      <alignment vertical="center"/>
    </xf>
    <xf numFmtId="0" fontId="26" fillId="8" borderId="27" xfId="0" applyFont="1" applyFill="1" applyBorder="1" applyAlignment="1">
      <alignment vertical="center"/>
    </xf>
    <xf numFmtId="164" fontId="26" fillId="8" borderId="27" xfId="0" applyNumberFormat="1" applyFont="1" applyFill="1" applyBorder="1" applyAlignment="1">
      <alignment vertical="center"/>
    </xf>
    <xf numFmtId="164" fontId="26" fillId="8" borderId="27" xfId="3" applyNumberFormat="1" applyFont="1" applyFill="1" applyBorder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right" vertical="center"/>
    </xf>
    <xf numFmtId="0" fontId="26" fillId="8" borderId="4" xfId="0" applyFont="1" applyFill="1" applyBorder="1" applyAlignment="1">
      <alignment vertical="center"/>
    </xf>
    <xf numFmtId="0" fontId="27" fillId="8" borderId="4" xfId="0" applyFont="1" applyFill="1" applyBorder="1" applyAlignment="1">
      <alignment vertical="center"/>
    </xf>
    <xf numFmtId="0" fontId="30" fillId="8" borderId="4" xfId="0" applyFont="1" applyFill="1" applyBorder="1" applyAlignment="1">
      <alignment vertical="center"/>
    </xf>
    <xf numFmtId="0" fontId="31" fillId="8" borderId="4" xfId="0" applyFont="1" applyFill="1" applyBorder="1" applyAlignment="1">
      <alignment vertical="center"/>
    </xf>
    <xf numFmtId="0" fontId="32" fillId="8" borderId="4" xfId="0" applyFont="1" applyFill="1" applyBorder="1" applyAlignment="1">
      <alignment vertical="center"/>
    </xf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26" fillId="8" borderId="11" xfId="0" applyFont="1" applyFill="1" applyBorder="1" applyAlignment="1">
      <alignment vertical="center"/>
    </xf>
    <xf numFmtId="0" fontId="27" fillId="4" borderId="0" xfId="0" applyFont="1" applyFill="1" applyAlignment="1">
      <alignment vertical="center"/>
    </xf>
    <xf numFmtId="0" fontId="33" fillId="8" borderId="4" xfId="0" applyFont="1" applyFill="1" applyBorder="1" applyAlignment="1">
      <alignment vertical="center"/>
    </xf>
    <xf numFmtId="2" fontId="27" fillId="8" borderId="27" xfId="0" applyNumberFormat="1" applyFont="1" applyFill="1" applyBorder="1" applyAlignment="1">
      <alignment vertical="center"/>
    </xf>
    <xf numFmtId="2" fontId="26" fillId="8" borderId="0" xfId="0" applyNumberFormat="1" applyFont="1" applyFill="1" applyAlignment="1">
      <alignment vertical="center"/>
    </xf>
    <xf numFmtId="0" fontId="26" fillId="8" borderId="8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28" xfId="0" applyFont="1" applyFill="1" applyBorder="1" applyAlignment="1">
      <alignment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3" fontId="27" fillId="8" borderId="0" xfId="0" applyNumberFormat="1" applyFont="1" applyFill="1" applyAlignment="1">
      <alignment horizontal="left" vertical="center"/>
    </xf>
    <xf numFmtId="0" fontId="27" fillId="8" borderId="0" xfId="0" applyFont="1" applyFill="1" applyAlignment="1">
      <alignment horizontal="left" vertical="center"/>
    </xf>
    <xf numFmtId="0" fontId="26" fillId="8" borderId="8" xfId="0" applyFont="1" applyFill="1" applyBorder="1" applyAlignment="1">
      <alignment horizontal="right"/>
    </xf>
    <xf numFmtId="0" fontId="26" fillId="8" borderId="0" xfId="0" applyFont="1" applyFill="1" applyAlignment="1">
      <alignment horizontal="right"/>
    </xf>
    <xf numFmtId="0" fontId="26" fillId="8" borderId="12" xfId="0" applyFont="1" applyFill="1" applyBorder="1" applyAlignment="1">
      <alignment horizontal="right"/>
    </xf>
    <xf numFmtId="0" fontId="26" fillId="8" borderId="13" xfId="0" applyFont="1" applyFill="1" applyBorder="1" applyAlignment="1">
      <alignment horizontal="right"/>
    </xf>
    <xf numFmtId="0" fontId="13" fillId="27" borderId="11" xfId="0" applyFont="1" applyFill="1" applyBorder="1"/>
    <xf numFmtId="0" fontId="13" fillId="27" borderId="12" xfId="0" applyFont="1" applyFill="1" applyBorder="1"/>
    <xf numFmtId="0" fontId="0" fillId="27" borderId="12" xfId="0" applyFill="1" applyBorder="1"/>
    <xf numFmtId="0" fontId="12" fillId="27" borderId="12" xfId="0" applyFont="1" applyFill="1" applyBorder="1"/>
    <xf numFmtId="2" fontId="13" fillId="27" borderId="10" xfId="0" applyNumberFormat="1" applyFont="1" applyFill="1" applyBorder="1"/>
    <xf numFmtId="2" fontId="0" fillId="27" borderId="10" xfId="0" applyNumberFormat="1" applyFill="1" applyBorder="1"/>
    <xf numFmtId="2" fontId="0" fillId="27" borderId="28" xfId="0" applyNumberFormat="1" applyFill="1" applyBorder="1"/>
    <xf numFmtId="0" fontId="0" fillId="27" borderId="26" xfId="0" applyFill="1" applyBorder="1"/>
    <xf numFmtId="0" fontId="14" fillId="27" borderId="26" xfId="0" applyFont="1" applyFill="1" applyBorder="1"/>
    <xf numFmtId="0" fontId="12" fillId="27" borderId="26" xfId="0" applyFont="1" applyFill="1" applyBorder="1"/>
    <xf numFmtId="0" fontId="0" fillId="27" borderId="25" xfId="0" applyFill="1" applyBorder="1"/>
    <xf numFmtId="0" fontId="18" fillId="27" borderId="26" xfId="0" applyFont="1" applyFill="1" applyBorder="1"/>
    <xf numFmtId="2" fontId="26" fillId="8" borderId="11" xfId="0" applyNumberFormat="1" applyFont="1" applyFill="1" applyBorder="1" applyAlignment="1">
      <alignment vertical="center"/>
    </xf>
    <xf numFmtId="2" fontId="26" fillId="8" borderId="8" xfId="0" applyNumberFormat="1" applyFont="1" applyFill="1" applyBorder="1" applyAlignment="1">
      <alignment vertical="center"/>
    </xf>
    <xf numFmtId="0" fontId="26" fillId="8" borderId="12" xfId="0" applyFont="1" applyFill="1" applyBorder="1" applyAlignment="1">
      <alignment vertical="center"/>
    </xf>
    <xf numFmtId="2" fontId="26" fillId="8" borderId="28" xfId="0" applyNumberFormat="1" applyFont="1" applyFill="1" applyBorder="1" applyAlignment="1">
      <alignment vertical="center"/>
    </xf>
    <xf numFmtId="2" fontId="26" fillId="8" borderId="10" xfId="0" applyNumberFormat="1" applyFont="1" applyFill="1" applyBorder="1" applyAlignment="1">
      <alignment vertical="center"/>
    </xf>
    <xf numFmtId="0" fontId="27" fillId="8" borderId="25" xfId="0" applyFont="1" applyFill="1" applyBorder="1" applyAlignment="1">
      <alignment vertical="center"/>
    </xf>
    <xf numFmtId="0" fontId="26" fillId="8" borderId="26" xfId="0" applyFont="1" applyFill="1" applyBorder="1" applyAlignment="1">
      <alignment vertical="center"/>
    </xf>
    <xf numFmtId="0" fontId="26" fillId="8" borderId="26" xfId="0" applyFont="1" applyFill="1" applyBorder="1" applyAlignment="1">
      <alignment horizontal="right"/>
    </xf>
    <xf numFmtId="0" fontId="26" fillId="8" borderId="22" xfId="0" applyFont="1" applyFill="1" applyBorder="1" applyAlignment="1">
      <alignment horizontal="right"/>
    </xf>
    <xf numFmtId="0" fontId="27" fillId="8" borderId="11" xfId="0" applyFont="1" applyFill="1" applyBorder="1" applyAlignment="1">
      <alignment vertical="center"/>
    </xf>
    <xf numFmtId="2" fontId="26" fillId="8" borderId="12" xfId="0" applyNumberFormat="1" applyFont="1" applyFill="1" applyBorder="1" applyAlignment="1">
      <alignment vertical="center"/>
    </xf>
    <xf numFmtId="0" fontId="1" fillId="27" borderId="25" xfId="0" applyFont="1" applyFill="1" applyBorder="1"/>
    <xf numFmtId="2" fontId="0" fillId="27" borderId="22" xfId="0" applyNumberFormat="1" applyFill="1" applyBorder="1"/>
    <xf numFmtId="2" fontId="0" fillId="27" borderId="26" xfId="0" applyNumberFormat="1" applyFill="1" applyBorder="1"/>
    <xf numFmtId="0" fontId="1" fillId="2" borderId="11" xfId="0" applyFont="1" applyFill="1" applyBorder="1"/>
    <xf numFmtId="0" fontId="1" fillId="0" borderId="10" xfId="0" applyFont="1" applyBorder="1" applyAlignment="1">
      <alignment horizontal="center"/>
    </xf>
    <xf numFmtId="10" fontId="2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2" xfId="0" applyBorder="1"/>
    <xf numFmtId="0" fontId="0" fillId="8" borderId="25" xfId="0" applyFill="1" applyBorder="1"/>
    <xf numFmtId="0" fontId="34" fillId="8" borderId="8" xfId="0" applyFont="1" applyFill="1" applyBorder="1"/>
    <xf numFmtId="2" fontId="34" fillId="8" borderId="8" xfId="0" applyNumberFormat="1" applyFont="1" applyFill="1" applyBorder="1"/>
    <xf numFmtId="0" fontId="34" fillId="0" borderId="0" xfId="0" applyFont="1"/>
    <xf numFmtId="167" fontId="34" fillId="0" borderId="0" xfId="0" applyNumberFormat="1" applyFont="1"/>
    <xf numFmtId="2" fontId="13" fillId="8" borderId="10" xfId="0" applyNumberFormat="1" applyFont="1" applyFill="1" applyBorder="1"/>
    <xf numFmtId="0" fontId="9" fillId="5" borderId="0" xfId="0" applyFont="1" applyFill="1"/>
    <xf numFmtId="2" fontId="0" fillId="5" borderId="10" xfId="0" applyNumberFormat="1" applyFill="1" applyBorder="1"/>
    <xf numFmtId="0" fontId="36" fillId="8" borderId="8" xfId="0" applyFont="1" applyFill="1" applyBorder="1"/>
    <xf numFmtId="0" fontId="6" fillId="8" borderId="10" xfId="0" applyFont="1" applyFill="1" applyBorder="1"/>
    <xf numFmtId="2" fontId="0" fillId="8" borderId="26" xfId="0" applyNumberFormat="1" applyFill="1" applyBorder="1"/>
    <xf numFmtId="0" fontId="11" fillId="8" borderId="25" xfId="0" applyFont="1" applyFill="1" applyBorder="1"/>
    <xf numFmtId="0" fontId="12" fillId="8" borderId="26" xfId="0" applyFont="1" applyFill="1" applyBorder="1"/>
    <xf numFmtId="2" fontId="0" fillId="2" borderId="10" xfId="0" applyNumberFormat="1" applyFill="1" applyBorder="1"/>
    <xf numFmtId="10" fontId="0" fillId="2" borderId="10" xfId="0" applyNumberFormat="1" applyFill="1" applyBorder="1"/>
    <xf numFmtId="10" fontId="0" fillId="8" borderId="10" xfId="0" applyNumberFormat="1" applyFill="1" applyBorder="1"/>
    <xf numFmtId="164" fontId="0" fillId="8" borderId="10" xfId="0" applyNumberFormat="1" applyFill="1" applyBorder="1"/>
    <xf numFmtId="44" fontId="0" fillId="8" borderId="10" xfId="2" applyFont="1" applyFill="1" applyBorder="1"/>
    <xf numFmtId="2" fontId="0" fillId="7" borderId="10" xfId="0" applyNumberFormat="1" applyFill="1" applyBorder="1"/>
    <xf numFmtId="9" fontId="0" fillId="7" borderId="10" xfId="3" applyFont="1" applyFill="1" applyBorder="1"/>
    <xf numFmtId="0" fontId="0" fillId="7" borderId="10" xfId="0" applyFill="1" applyBorder="1"/>
    <xf numFmtId="0" fontId="39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2" fontId="42" fillId="8" borderId="10" xfId="0" applyNumberFormat="1" applyFont="1" applyFill="1" applyBorder="1"/>
    <xf numFmtId="164" fontId="0" fillId="2" borderId="10" xfId="0" applyNumberFormat="1" applyFill="1" applyBorder="1"/>
    <xf numFmtId="44" fontId="0" fillId="2" borderId="10" xfId="2" applyFont="1" applyFill="1" applyBorder="1"/>
    <xf numFmtId="0" fontId="9" fillId="2" borderId="25" xfId="0" applyFont="1" applyFill="1" applyBorder="1"/>
    <xf numFmtId="0" fontId="0" fillId="2" borderId="26" xfId="0" applyFill="1" applyBorder="1"/>
    <xf numFmtId="0" fontId="0" fillId="2" borderId="22" xfId="0" applyFill="1" applyBorder="1"/>
    <xf numFmtId="0" fontId="9" fillId="2" borderId="11" xfId="0" applyFont="1" applyFill="1" applyBorder="1"/>
    <xf numFmtId="10" fontId="26" fillId="8" borderId="0" xfId="0" applyNumberFormat="1" applyFont="1" applyFill="1" applyAlignment="1">
      <alignment horizontal="right"/>
    </xf>
    <xf numFmtId="2" fontId="26" fillId="8" borderId="8" xfId="0" applyNumberFormat="1" applyFont="1" applyFill="1" applyBorder="1" applyAlignment="1">
      <alignment horizontal="right"/>
    </xf>
    <xf numFmtId="2" fontId="26" fillId="8" borderId="23" xfId="0" applyNumberFormat="1" applyFont="1" applyFill="1" applyBorder="1" applyAlignment="1">
      <alignment vertical="center"/>
    </xf>
    <xf numFmtId="164" fontId="26" fillId="8" borderId="0" xfId="0" applyNumberFormat="1" applyFont="1" applyFill="1" applyAlignment="1">
      <alignment horizontal="right"/>
    </xf>
    <xf numFmtId="0" fontId="0" fillId="27" borderId="0" xfId="0" applyFill="1"/>
    <xf numFmtId="0" fontId="0" fillId="4" borderId="2" xfId="0" applyFill="1" applyBorder="1"/>
    <xf numFmtId="0" fontId="9" fillId="4" borderId="2" xfId="0" applyFont="1" applyFill="1" applyBorder="1"/>
    <xf numFmtId="0" fontId="0" fillId="4" borderId="1" xfId="0" applyFill="1" applyBorder="1"/>
    <xf numFmtId="0" fontId="0" fillId="4" borderId="3" xfId="0" applyFill="1" applyBorder="1"/>
    <xf numFmtId="0" fontId="0" fillId="13" borderId="46" xfId="0" applyFill="1" applyBorder="1"/>
    <xf numFmtId="0" fontId="0" fillId="26" borderId="3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7" borderId="8" xfId="0" applyFill="1" applyBorder="1"/>
    <xf numFmtId="0" fontId="0" fillId="27" borderId="13" xfId="0" applyFill="1" applyBorder="1"/>
    <xf numFmtId="0" fontId="0" fillId="27" borderId="46" xfId="0" applyFill="1" applyBorder="1"/>
    <xf numFmtId="0" fontId="0" fillId="5" borderId="46" xfId="0" applyFill="1" applyBorder="1"/>
    <xf numFmtId="0" fontId="0" fillId="5" borderId="45" xfId="0" applyFill="1" applyBorder="1"/>
    <xf numFmtId="0" fontId="4" fillId="0" borderId="0" xfId="0" applyFont="1"/>
    <xf numFmtId="2" fontId="13" fillId="27" borderId="28" xfId="0" applyNumberFormat="1" applyFont="1" applyFill="1" applyBorder="1"/>
    <xf numFmtId="10" fontId="26" fillId="8" borderId="28" xfId="0" applyNumberFormat="1" applyFont="1" applyFill="1" applyBorder="1" applyAlignment="1">
      <alignment vertical="center"/>
    </xf>
    <xf numFmtId="0" fontId="0" fillId="21" borderId="10" xfId="0" applyFill="1" applyBorder="1"/>
    <xf numFmtId="0" fontId="0" fillId="29" borderId="10" xfId="0" applyFill="1" applyBorder="1"/>
    <xf numFmtId="0" fontId="0" fillId="13" borderId="10" xfId="0" applyFill="1" applyBorder="1"/>
    <xf numFmtId="0" fontId="0" fillId="0" borderId="2" xfId="0" applyBorder="1" applyAlignment="1">
      <alignment horizontal="right"/>
    </xf>
    <xf numFmtId="0" fontId="43" fillId="0" borderId="0" xfId="0" applyFont="1"/>
    <xf numFmtId="0" fontId="0" fillId="0" borderId="26" xfId="0" applyBorder="1"/>
    <xf numFmtId="0" fontId="0" fillId="0" borderId="4" xfId="0" applyBorder="1"/>
    <xf numFmtId="0" fontId="0" fillId="0" borderId="26" xfId="0" applyBorder="1" applyAlignment="1">
      <alignment horizontal="right"/>
    </xf>
    <xf numFmtId="0" fontId="0" fillId="0" borderId="13" xfId="0" applyBorder="1" applyAlignment="1">
      <alignment horizontal="right"/>
    </xf>
    <xf numFmtId="2" fontId="26" fillId="8" borderId="26" xfId="0" applyNumberFormat="1" applyFont="1" applyFill="1" applyBorder="1" applyAlignment="1">
      <alignment vertical="center"/>
    </xf>
    <xf numFmtId="2" fontId="27" fillId="8" borderId="10" xfId="0" applyNumberFormat="1" applyFont="1" applyFill="1" applyBorder="1" applyAlignment="1">
      <alignment vertical="center"/>
    </xf>
    <xf numFmtId="0" fontId="27" fillId="8" borderId="10" xfId="0" applyFont="1" applyFill="1" applyBorder="1" applyAlignment="1">
      <alignment vertical="center"/>
    </xf>
    <xf numFmtId="2" fontId="27" fillId="8" borderId="26" xfId="0" applyNumberFormat="1" applyFont="1" applyFill="1" applyBorder="1" applyAlignment="1">
      <alignment vertical="center"/>
    </xf>
    <xf numFmtId="164" fontId="26" fillId="8" borderId="28" xfId="3" applyNumberFormat="1" applyFont="1" applyFill="1" applyBorder="1" applyAlignment="1">
      <alignment vertical="center"/>
    </xf>
    <xf numFmtId="2" fontId="26" fillId="8" borderId="13" xfId="0" applyNumberFormat="1" applyFont="1" applyFill="1" applyBorder="1" applyAlignment="1">
      <alignment vertical="center"/>
    </xf>
    <xf numFmtId="164" fontId="26" fillId="8" borderId="8" xfId="3" applyNumberFormat="1" applyFont="1" applyFill="1" applyBorder="1" applyAlignment="1">
      <alignment vertical="center"/>
    </xf>
    <xf numFmtId="164" fontId="26" fillId="8" borderId="13" xfId="3" applyNumberFormat="1" applyFont="1" applyFill="1" applyBorder="1" applyAlignment="1">
      <alignment vertical="center"/>
    </xf>
    <xf numFmtId="0" fontId="26" fillId="8" borderId="3" xfId="0" applyFont="1" applyFill="1" applyBorder="1" applyAlignment="1">
      <alignment vertical="center"/>
    </xf>
    <xf numFmtId="164" fontId="26" fillId="8" borderId="22" xfId="3" applyNumberFormat="1" applyFont="1" applyFill="1" applyBorder="1" applyAlignment="1">
      <alignment vertical="center"/>
    </xf>
    <xf numFmtId="0" fontId="26" fillId="8" borderId="23" xfId="0" applyFont="1" applyFill="1" applyBorder="1" applyAlignment="1">
      <alignment vertical="center"/>
    </xf>
    <xf numFmtId="10" fontId="26" fillId="8" borderId="27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44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0" fillId="0" borderId="28" xfId="0" applyBorder="1"/>
    <xf numFmtId="2" fontId="30" fillId="8" borderId="8" xfId="0" applyNumberFormat="1" applyFont="1" applyFill="1" applyBorder="1" applyAlignment="1">
      <alignment vertical="center"/>
    </xf>
    <xf numFmtId="0" fontId="15" fillId="8" borderId="11" xfId="0" applyFont="1" applyFill="1" applyBorder="1"/>
    <xf numFmtId="0" fontId="15" fillId="8" borderId="12" xfId="0" applyFont="1" applyFill="1" applyBorder="1"/>
    <xf numFmtId="2" fontId="4" fillId="0" borderId="0" xfId="0" applyNumberFormat="1" applyFont="1"/>
    <xf numFmtId="10" fontId="0" fillId="8" borderId="10" xfId="3" applyNumberFormat="1" applyFont="1" applyFill="1" applyBorder="1"/>
    <xf numFmtId="10" fontId="0" fillId="8" borderId="22" xfId="0" applyNumberFormat="1" applyFill="1" applyBorder="1"/>
    <xf numFmtId="0" fontId="42" fillId="2" borderId="22" xfId="0" applyFont="1" applyFill="1" applyBorder="1"/>
    <xf numFmtId="0" fontId="39" fillId="2" borderId="2" xfId="0" applyFont="1" applyFill="1" applyBorder="1"/>
    <xf numFmtId="0" fontId="45" fillId="0" borderId="0" xfId="0" applyFont="1"/>
    <xf numFmtId="9" fontId="0" fillId="8" borderId="8" xfId="0" applyNumberFormat="1" applyFill="1" applyBorder="1"/>
    <xf numFmtId="0" fontId="0" fillId="30" borderId="0" xfId="0" applyFill="1"/>
    <xf numFmtId="2" fontId="1" fillId="30" borderId="0" xfId="0" applyNumberFormat="1" applyFont="1" applyFill="1"/>
    <xf numFmtId="10" fontId="0" fillId="30" borderId="10" xfId="0" applyNumberFormat="1" applyFill="1" applyBorder="1"/>
    <xf numFmtId="0" fontId="0" fillId="16" borderId="0" xfId="0" applyFill="1"/>
    <xf numFmtId="0" fontId="0" fillId="31" borderId="0" xfId="0" applyFill="1"/>
    <xf numFmtId="10" fontId="0" fillId="7" borderId="10" xfId="3" applyNumberFormat="1" applyFont="1" applyFill="1" applyBorder="1"/>
    <xf numFmtId="10" fontId="16" fillId="5" borderId="10" xfId="3" applyNumberFormat="1" applyFont="1" applyFill="1" applyBorder="1"/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1" fillId="2" borderId="22" xfId="0" applyFont="1" applyFill="1" applyBorder="1" applyAlignment="1">
      <alignment horizontal="center"/>
    </xf>
    <xf numFmtId="2" fontId="0" fillId="0" borderId="0" xfId="0" applyNumberFormat="1"/>
    <xf numFmtId="0" fontId="0" fillId="8" borderId="13" xfId="0" applyFill="1" applyBorder="1" applyAlignment="1">
      <alignment horizontal="center"/>
    </xf>
    <xf numFmtId="167" fontId="0" fillId="0" borderId="10" xfId="0" applyNumberFormat="1" applyBorder="1"/>
    <xf numFmtId="164" fontId="26" fillId="8" borderId="0" xfId="3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0" fillId="12" borderId="10" xfId="0" applyFill="1" applyBorder="1"/>
    <xf numFmtId="0" fontId="1" fillId="1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9" fillId="8" borderId="27" xfId="0" applyFont="1" applyFill="1" applyBorder="1"/>
    <xf numFmtId="0" fontId="9" fillId="8" borderId="28" xfId="0" applyFont="1" applyFill="1" applyBorder="1"/>
    <xf numFmtId="168" fontId="0" fillId="0" borderId="26" xfId="0" applyNumberFormat="1" applyBorder="1"/>
    <xf numFmtId="9" fontId="0" fillId="0" borderId="10" xfId="0" applyNumberFormat="1" applyBorder="1"/>
    <xf numFmtId="2" fontId="15" fillId="8" borderId="28" xfId="0" applyNumberFormat="1" applyFont="1" applyFill="1" applyBorder="1"/>
    <xf numFmtId="0" fontId="1" fillId="8" borderId="25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left"/>
    </xf>
    <xf numFmtId="2" fontId="41" fillId="8" borderId="10" xfId="0" applyNumberFormat="1" applyFont="1" applyFill="1" applyBorder="1"/>
    <xf numFmtId="0" fontId="6" fillId="8" borderId="25" xfId="0" applyFont="1" applyFill="1" applyBorder="1" applyAlignment="1">
      <alignment horizontal="left"/>
    </xf>
    <xf numFmtId="0" fontId="1" fillId="8" borderId="10" xfId="0" applyFont="1" applyFill="1" applyBorder="1"/>
    <xf numFmtId="2" fontId="26" fillId="8" borderId="10" xfId="0" applyNumberFormat="1" applyFont="1" applyFill="1" applyBorder="1" applyAlignment="1">
      <alignment horizontal="center" vertical="center"/>
    </xf>
    <xf numFmtId="0" fontId="29" fillId="20" borderId="10" xfId="0" applyFont="1" applyFill="1" applyBorder="1" applyAlignment="1">
      <alignment vertical="center"/>
    </xf>
    <xf numFmtId="2" fontId="29" fillId="20" borderId="10" xfId="0" applyNumberFormat="1" applyFont="1" applyFill="1" applyBorder="1" applyAlignment="1">
      <alignment horizontal="center" vertical="center"/>
    </xf>
    <xf numFmtId="2" fontId="1" fillId="12" borderId="28" xfId="0" applyNumberFormat="1" applyFont="1" applyFill="1" applyBorder="1"/>
    <xf numFmtId="9" fontId="0" fillId="0" borderId="0" xfId="0" applyNumberFormat="1"/>
    <xf numFmtId="10" fontId="0" fillId="0" borderId="0" xfId="0" applyNumberFormat="1"/>
    <xf numFmtId="2" fontId="0" fillId="5" borderId="8" xfId="0" applyNumberFormat="1" applyFill="1" applyBorder="1"/>
    <xf numFmtId="2" fontId="1" fillId="12" borderId="8" xfId="0" applyNumberFormat="1" applyFont="1" applyFill="1" applyBorder="1"/>
    <xf numFmtId="2" fontId="1" fillId="12" borderId="13" xfId="0" applyNumberFormat="1" applyFont="1" applyFill="1" applyBorder="1"/>
    <xf numFmtId="0" fontId="47" fillId="0" borderId="0" xfId="0" applyFont="1"/>
    <xf numFmtId="0" fontId="47" fillId="5" borderId="0" xfId="0" applyFont="1" applyFill="1"/>
    <xf numFmtId="2" fontId="0" fillId="0" borderId="10" xfId="0" applyNumberFormat="1" applyBorder="1" applyAlignment="1">
      <alignment horizontal="left" indent="3"/>
    </xf>
    <xf numFmtId="2" fontId="39" fillId="8" borderId="2" xfId="0" applyNumberFormat="1" applyFont="1" applyFill="1" applyBorder="1"/>
    <xf numFmtId="2" fontId="39" fillId="8" borderId="13" xfId="0" applyNumberFormat="1" applyFont="1" applyFill="1" applyBorder="1"/>
    <xf numFmtId="0" fontId="12" fillId="0" borderId="27" xfId="0" applyFont="1" applyBorder="1"/>
    <xf numFmtId="0" fontId="49" fillId="0" borderId="0" xfId="0" applyFont="1"/>
    <xf numFmtId="17" fontId="0" fillId="5" borderId="0" xfId="0" applyNumberFormat="1" applyFill="1"/>
    <xf numFmtId="0" fontId="12" fillId="0" borderId="0" xfId="0" applyFont="1" applyAlignment="1">
      <alignment vertical="center"/>
    </xf>
    <xf numFmtId="0" fontId="1" fillId="5" borderId="0" xfId="0" applyFont="1" applyFill="1"/>
    <xf numFmtId="2" fontId="0" fillId="5" borderId="0" xfId="0" applyNumberFormat="1" applyFill="1"/>
    <xf numFmtId="0" fontId="48" fillId="5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0" fillId="31" borderId="25" xfId="0" applyFill="1" applyBorder="1" applyAlignment="1">
      <alignment horizontal="center"/>
    </xf>
    <xf numFmtId="0" fontId="0" fillId="31" borderId="26" xfId="0" applyFill="1" applyBorder="1" applyAlignment="1">
      <alignment horizontal="center"/>
    </xf>
    <xf numFmtId="0" fontId="0" fillId="31" borderId="22" xfId="0" applyFill="1" applyBorder="1" applyAlignment="1">
      <alignment horizontal="center"/>
    </xf>
    <xf numFmtId="0" fontId="0" fillId="27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17" borderId="10" xfId="0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right"/>
    </xf>
    <xf numFmtId="0" fontId="15" fillId="8" borderId="22" xfId="0" applyFont="1" applyFill="1" applyBorder="1" applyAlignment="1">
      <alignment horizontal="right"/>
    </xf>
    <xf numFmtId="2" fontId="34" fillId="8" borderId="10" xfId="0" applyNumberFormat="1" applyFont="1" applyFill="1" applyBorder="1" applyAlignment="1">
      <alignment horizontal="center"/>
    </xf>
    <xf numFmtId="0" fontId="34" fillId="8" borderId="10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6" fillId="8" borderId="25" xfId="0" applyFont="1" applyFill="1" applyBorder="1" applyAlignment="1">
      <alignment horizontal="left" vertical="center"/>
    </xf>
    <xf numFmtId="0" fontId="6" fillId="8" borderId="26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2" fontId="26" fillId="8" borderId="25" xfId="0" applyNumberFormat="1" applyFont="1" applyFill="1" applyBorder="1" applyAlignment="1">
      <alignment horizontal="center" vertical="center"/>
    </xf>
    <xf numFmtId="2" fontId="26" fillId="8" borderId="22" xfId="0" applyNumberFormat="1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2" fontId="29" fillId="28" borderId="4" xfId="0" applyNumberFormat="1" applyFont="1" applyFill="1" applyBorder="1" applyAlignment="1">
      <alignment horizontal="center" vertical="center"/>
    </xf>
    <xf numFmtId="2" fontId="29" fillId="28" borderId="0" xfId="0" applyNumberFormat="1" applyFont="1" applyFill="1" applyAlignment="1">
      <alignment horizontal="center" vertical="center"/>
    </xf>
    <xf numFmtId="2" fontId="26" fillId="8" borderId="10" xfId="0" applyNumberFormat="1" applyFont="1" applyFill="1" applyBorder="1" applyAlignment="1">
      <alignment horizontal="center" vertical="center"/>
    </xf>
    <xf numFmtId="166" fontId="32" fillId="8" borderId="4" xfId="0" applyNumberFormat="1" applyFont="1" applyFill="1" applyBorder="1" applyAlignment="1">
      <alignment horizontal="center" vertical="center"/>
    </xf>
    <xf numFmtId="166" fontId="32" fillId="8" borderId="0" xfId="0" applyNumberFormat="1" applyFont="1" applyFill="1" applyAlignment="1">
      <alignment horizontal="center" vertical="center"/>
    </xf>
    <xf numFmtId="166" fontId="32" fillId="8" borderId="8" xfId="0" applyNumberFormat="1" applyFont="1" applyFill="1" applyBorder="1" applyAlignment="1">
      <alignment horizontal="center" vertical="center"/>
    </xf>
    <xf numFmtId="2" fontId="26" fillId="8" borderId="1" xfId="0" applyNumberFormat="1" applyFont="1" applyFill="1" applyBorder="1" applyAlignment="1">
      <alignment horizontal="center" vertical="center"/>
    </xf>
    <xf numFmtId="2" fontId="26" fillId="8" borderId="2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center" vertical="center"/>
    </xf>
    <xf numFmtId="0" fontId="29" fillId="28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7" fillId="15" borderId="10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12" borderId="23" xfId="0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2" fontId="1" fillId="19" borderId="10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vertical="center"/>
    </xf>
    <xf numFmtId="2" fontId="1" fillId="6" borderId="10" xfId="0" applyNumberFormat="1" applyFont="1" applyFill="1" applyBorder="1" applyAlignment="1">
      <alignment horizontal="right"/>
    </xf>
    <xf numFmtId="0" fontId="10" fillId="21" borderId="10" xfId="0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2" fontId="0" fillId="9" borderId="10" xfId="0" applyNumberFormat="1" applyFill="1" applyBorder="1" applyAlignment="1">
      <alignment horizontal="right"/>
    </xf>
    <xf numFmtId="2" fontId="0" fillId="9" borderId="42" xfId="0" applyNumberFormat="1" applyFill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7" borderId="4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2" fontId="0" fillId="0" borderId="39" xfId="0" applyNumberFormat="1" applyBorder="1" applyAlignment="1">
      <alignment horizontal="right"/>
    </xf>
    <xf numFmtId="0" fontId="10" fillId="20" borderId="0" xfId="0" applyFont="1" applyFill="1" applyAlignment="1">
      <alignment horizontal="center"/>
    </xf>
    <xf numFmtId="2" fontId="0" fillId="8" borderId="10" xfId="0" applyNumberFormat="1" applyFill="1" applyBorder="1" applyAlignment="1">
      <alignment horizontal="right"/>
    </xf>
    <xf numFmtId="2" fontId="0" fillId="8" borderId="42" xfId="0" applyNumberForma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0" fontId="2" fillId="22" borderId="10" xfId="0" applyFont="1" applyFill="1" applyBorder="1" applyAlignment="1">
      <alignment horizontal="center"/>
    </xf>
    <xf numFmtId="2" fontId="0" fillId="13" borderId="10" xfId="0" applyNumberForma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3" fillId="14" borderId="10" xfId="0" applyFont="1" applyFill="1" applyBorder="1" applyAlignment="1">
      <alignment horizontal="center"/>
    </xf>
    <xf numFmtId="0" fontId="48" fillId="5" borderId="10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46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3" borderId="10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66FF99"/>
      <color rgb="FF99FF99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21262</xdr:colOff>
      <xdr:row>49</xdr:row>
      <xdr:rowOff>42522</xdr:rowOff>
    </xdr:from>
    <xdr:to>
      <xdr:col>10</xdr:col>
      <xdr:colOff>191351</xdr:colOff>
      <xdr:row>52</xdr:row>
      <xdr:rowOff>1701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54FF4B5-1695-FA30-CA53-E506E6DA76A6}"/>
            </a:ext>
          </a:extLst>
        </xdr:cNvPr>
        <xdr:cNvSpPr/>
      </xdr:nvSpPr>
      <xdr:spPr>
        <a:xfrm>
          <a:off x="7682935" y="9990195"/>
          <a:ext cx="170089" cy="49496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138113</xdr:colOff>
      <xdr:row>5</xdr:row>
      <xdr:rowOff>0</xdr:rowOff>
    </xdr:from>
    <xdr:to>
      <xdr:col>6</xdr:col>
      <xdr:colOff>466725</xdr:colOff>
      <xdr:row>14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5759E84-2711-F970-DD3B-4A551A623115}"/>
            </a:ext>
          </a:extLst>
        </xdr:cNvPr>
        <xdr:cNvSpPr/>
      </xdr:nvSpPr>
      <xdr:spPr>
        <a:xfrm>
          <a:off x="4243388" y="904875"/>
          <a:ext cx="328612" cy="18097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109538</xdr:colOff>
      <xdr:row>16</xdr:row>
      <xdr:rowOff>19050</xdr:rowOff>
    </xdr:from>
    <xdr:to>
      <xdr:col>6</xdr:col>
      <xdr:colOff>528638</xdr:colOff>
      <xdr:row>30</xdr:row>
      <xdr:rowOff>9525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06AB19E-B6BB-C402-F1A8-BB270F5E65BA}"/>
            </a:ext>
          </a:extLst>
        </xdr:cNvPr>
        <xdr:cNvSpPr/>
      </xdr:nvSpPr>
      <xdr:spPr>
        <a:xfrm>
          <a:off x="4214813" y="2919413"/>
          <a:ext cx="419100" cy="2528887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104775</xdr:colOff>
      <xdr:row>31</xdr:row>
      <xdr:rowOff>9525</xdr:rowOff>
    </xdr:from>
    <xdr:to>
      <xdr:col>6</xdr:col>
      <xdr:colOff>481013</xdr:colOff>
      <xdr:row>50</xdr:row>
      <xdr:rowOff>166688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BB83F2F1-281D-FED8-6CCC-00EE8A0772A6}"/>
            </a:ext>
          </a:extLst>
        </xdr:cNvPr>
        <xdr:cNvSpPr/>
      </xdr:nvSpPr>
      <xdr:spPr>
        <a:xfrm>
          <a:off x="4210050" y="5629275"/>
          <a:ext cx="376238" cy="3595688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9525</xdr:rowOff>
    </xdr:from>
    <xdr:to>
      <xdr:col>11</xdr:col>
      <xdr:colOff>538162</xdr:colOff>
      <xdr:row>3</xdr:row>
      <xdr:rowOff>14287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5EA86FA-1AA8-4B74-9F4D-99B01D73FCF1}"/>
            </a:ext>
          </a:extLst>
        </xdr:cNvPr>
        <xdr:cNvSpPr/>
      </xdr:nvSpPr>
      <xdr:spPr>
        <a:xfrm>
          <a:off x="8062913" y="195263"/>
          <a:ext cx="347662" cy="366712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223838</xdr:colOff>
      <xdr:row>4</xdr:row>
      <xdr:rowOff>14287</xdr:rowOff>
    </xdr:from>
    <xdr:to>
      <xdr:col>11</xdr:col>
      <xdr:colOff>523875</xdr:colOff>
      <xdr:row>6</xdr:row>
      <xdr:rowOff>161925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BE2B911-F9BD-46AF-9FC8-386A31B8DAFD}"/>
            </a:ext>
          </a:extLst>
        </xdr:cNvPr>
        <xdr:cNvSpPr/>
      </xdr:nvSpPr>
      <xdr:spPr>
        <a:xfrm>
          <a:off x="8096251" y="742950"/>
          <a:ext cx="300037" cy="509588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135142</xdr:colOff>
      <xdr:row>26</xdr:row>
      <xdr:rowOff>47512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3894FE-B1A2-C156-09E8-1C303716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2714626"/>
          <a:ext cx="7428571" cy="634285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544285</xdr:colOff>
      <xdr:row>13</xdr:row>
      <xdr:rowOff>122464</xdr:rowOff>
    </xdr:from>
    <xdr:to>
      <xdr:col>18</xdr:col>
      <xdr:colOff>1962002</xdr:colOff>
      <xdr:row>26</xdr:row>
      <xdr:rowOff>134029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4F39E2-68AD-0A04-E18E-D43DFB21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9035" y="2653393"/>
          <a:ext cx="8874431" cy="649060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</xdr:colOff>
      <xdr:row>17</xdr:row>
      <xdr:rowOff>171452</xdr:rowOff>
    </xdr:from>
    <xdr:to>
      <xdr:col>9</xdr:col>
      <xdr:colOff>700087</xdr:colOff>
      <xdr:row>36</xdr:row>
      <xdr:rowOff>179398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03E33C-3338-F39F-E651-6B6907B9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00490"/>
          <a:ext cx="6715125" cy="344647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</xdr:col>
      <xdr:colOff>9525</xdr:colOff>
      <xdr:row>38</xdr:row>
      <xdr:rowOff>95251</xdr:rowOff>
    </xdr:from>
    <xdr:to>
      <xdr:col>6</xdr:col>
      <xdr:colOff>47625</xdr:colOff>
      <xdr:row>48</xdr:row>
      <xdr:rowOff>11819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01B197-8393-55A2-330C-E70F1A84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3" y="7624764"/>
          <a:ext cx="3848100" cy="172631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256618</xdr:colOff>
      <xdr:row>39</xdr:row>
      <xdr:rowOff>133350</xdr:rowOff>
    </xdr:from>
    <xdr:to>
      <xdr:col>11</xdr:col>
      <xdr:colOff>61912</xdr:colOff>
      <xdr:row>45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177037-CF7A-A0C4-DA6F-BCFE1953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4756" y="7843838"/>
          <a:ext cx="3615294" cy="10382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D1C9-28F0-433B-A50F-4A2F456F8A9D}">
  <dimension ref="B2:M100"/>
  <sheetViews>
    <sheetView tabSelected="1" zoomScale="80" zoomScaleNormal="80" workbookViewId="0">
      <selection activeCell="D11" sqref="D11"/>
    </sheetView>
  </sheetViews>
  <sheetFormatPr baseColWidth="10" defaultRowHeight="14.25" x14ac:dyDescent="0.45"/>
  <cols>
    <col min="1" max="1" width="3.86328125" customWidth="1"/>
    <col min="2" max="2" width="3.59765625" customWidth="1"/>
    <col min="3" max="3" width="17.796875" customWidth="1"/>
    <col min="4" max="4" width="17.19921875" customWidth="1"/>
    <col min="5" max="5" width="18.6640625" customWidth="1"/>
    <col min="6" max="6" width="15.06640625" customWidth="1"/>
    <col min="7" max="7" width="18.796875" customWidth="1"/>
    <col min="8" max="8" width="15.3984375" customWidth="1"/>
    <col min="9" max="9" width="13" customWidth="1"/>
    <col min="10" max="10" width="13.265625" customWidth="1"/>
  </cols>
  <sheetData>
    <row r="2" spans="2:10" ht="14.65" thickBot="1" x14ac:dyDescent="0.5">
      <c r="B2" s="1"/>
      <c r="C2" s="2"/>
      <c r="D2" s="2"/>
      <c r="E2" s="2"/>
      <c r="F2" s="2"/>
      <c r="G2" s="2"/>
      <c r="H2" s="2"/>
      <c r="I2" s="2"/>
      <c r="J2" s="3"/>
    </row>
    <row r="3" spans="2:10" ht="18.399999999999999" thickBot="1" x14ac:dyDescent="0.6">
      <c r="B3" s="4"/>
      <c r="C3" s="432" t="s">
        <v>0</v>
      </c>
      <c r="D3" s="433"/>
      <c r="E3" s="433"/>
      <c r="F3" s="433"/>
      <c r="G3" s="433"/>
      <c r="H3" s="433"/>
      <c r="I3" s="434"/>
      <c r="J3" s="5"/>
    </row>
    <row r="4" spans="2:10" ht="14.65" thickBot="1" x14ac:dyDescent="0.5">
      <c r="B4" s="4"/>
      <c r="C4" s="6"/>
      <c r="D4" s="6"/>
      <c r="E4" s="6"/>
      <c r="F4" s="6"/>
      <c r="G4" s="6"/>
      <c r="H4" s="6"/>
      <c r="I4" s="6"/>
      <c r="J4" s="5"/>
    </row>
    <row r="5" spans="2:10" ht="14.65" thickBot="1" x14ac:dyDescent="0.5">
      <c r="B5" s="4"/>
      <c r="C5" s="7" t="s">
        <v>1</v>
      </c>
      <c r="D5" s="8"/>
      <c r="E5" s="6"/>
      <c r="F5" s="9" t="s">
        <v>2</v>
      </c>
      <c r="G5" s="10"/>
      <c r="H5" s="11" t="s">
        <v>3</v>
      </c>
      <c r="I5" s="12"/>
      <c r="J5" s="5"/>
    </row>
    <row r="6" spans="2:10" ht="14.65" thickBot="1" x14ac:dyDescent="0.5">
      <c r="B6" s="4"/>
      <c r="C6" s="13" t="s">
        <v>4</v>
      </c>
      <c r="D6" s="8"/>
      <c r="E6" s="6"/>
      <c r="F6" s="11" t="s">
        <v>5</v>
      </c>
      <c r="G6" s="10"/>
      <c r="H6" s="9" t="s">
        <v>6</v>
      </c>
      <c r="I6" s="10"/>
      <c r="J6" s="5"/>
    </row>
    <row r="7" spans="2:10" ht="14.65" thickBot="1" x14ac:dyDescent="0.5">
      <c r="B7" s="4"/>
      <c r="C7" s="7" t="s">
        <v>7</v>
      </c>
      <c r="D7" s="8"/>
      <c r="E7" s="6"/>
      <c r="F7" s="9" t="s">
        <v>8</v>
      </c>
      <c r="G7" s="10"/>
      <c r="H7" s="6"/>
      <c r="I7" s="6"/>
      <c r="J7" s="5"/>
    </row>
    <row r="8" spans="2:10" ht="14.65" thickBot="1" x14ac:dyDescent="0.5">
      <c r="B8" s="4"/>
      <c r="C8" s="13" t="s">
        <v>9</v>
      </c>
      <c r="D8" s="8"/>
      <c r="E8" s="6"/>
      <c r="F8" s="11" t="s">
        <v>17</v>
      </c>
      <c r="G8" s="11"/>
      <c r="H8" s="14" t="s">
        <v>10</v>
      </c>
      <c r="I8" s="15" t="s">
        <v>117</v>
      </c>
      <c r="J8" s="5"/>
    </row>
    <row r="9" spans="2:10" ht="14.65" thickBot="1" x14ac:dyDescent="0.5">
      <c r="B9" s="4"/>
      <c r="C9" s="7" t="s">
        <v>11</v>
      </c>
      <c r="D9" s="8"/>
      <c r="E9" s="6"/>
      <c r="F9" s="11"/>
      <c r="G9" s="11"/>
      <c r="H9" s="22" t="s">
        <v>12</v>
      </c>
      <c r="I9" s="15"/>
      <c r="J9" s="5"/>
    </row>
    <row r="10" spans="2:10" ht="14.65" thickBot="1" x14ac:dyDescent="0.5">
      <c r="B10" s="4"/>
      <c r="C10" s="13" t="s">
        <v>13</v>
      </c>
      <c r="D10" s="8"/>
      <c r="E10" s="6"/>
      <c r="F10" s="11"/>
      <c r="G10" s="11"/>
      <c r="H10" s="22" t="s">
        <v>14</v>
      </c>
      <c r="I10" s="15"/>
      <c r="J10" s="5"/>
    </row>
    <row r="11" spans="2:10" ht="14.65" thickBot="1" x14ac:dyDescent="0.5">
      <c r="B11" s="4"/>
      <c r="C11" s="7" t="s">
        <v>15</v>
      </c>
      <c r="D11" s="8" t="s">
        <v>119</v>
      </c>
      <c r="E11" s="6"/>
      <c r="F11" s="6"/>
      <c r="G11" s="6"/>
      <c r="H11" s="6"/>
      <c r="I11" s="6"/>
      <c r="J11" s="5"/>
    </row>
    <row r="12" spans="2:10" ht="14.65" thickBot="1" x14ac:dyDescent="0.5">
      <c r="B12" s="4"/>
      <c r="C12" s="6"/>
      <c r="D12" s="6"/>
      <c r="E12" s="6"/>
      <c r="F12" s="6"/>
      <c r="G12" s="6"/>
      <c r="H12" s="14" t="s">
        <v>407</v>
      </c>
      <c r="I12" s="207" t="s">
        <v>117</v>
      </c>
      <c r="J12" s="5"/>
    </row>
    <row r="13" spans="2:10" x14ac:dyDescent="0.45">
      <c r="B13" s="4"/>
      <c r="C13" s="435" t="s">
        <v>16</v>
      </c>
      <c r="D13" s="436"/>
      <c r="E13" s="437"/>
      <c r="F13" s="206">
        <v>5</v>
      </c>
      <c r="G13" s="6"/>
      <c r="H13" s="14" t="s">
        <v>408</v>
      </c>
      <c r="I13" s="207"/>
      <c r="J13" s="5"/>
    </row>
    <row r="14" spans="2:10" x14ac:dyDescent="0.45">
      <c r="B14" s="4"/>
      <c r="C14" s="21"/>
      <c r="D14" s="21"/>
      <c r="E14" s="21"/>
      <c r="F14" s="6"/>
      <c r="G14" s="6"/>
      <c r="H14" s="60" t="s">
        <v>466</v>
      </c>
      <c r="I14" s="278"/>
      <c r="J14" s="5"/>
    </row>
    <row r="15" spans="2:10" ht="14.65" thickBot="1" x14ac:dyDescent="0.5">
      <c r="B15" s="4"/>
      <c r="C15" s="426" t="s">
        <v>566</v>
      </c>
      <c r="D15" s="427"/>
      <c r="E15" s="428"/>
      <c r="F15" s="20">
        <v>0.01</v>
      </c>
      <c r="G15" s="6"/>
      <c r="H15" s="6"/>
      <c r="I15" s="6"/>
      <c r="J15" s="5"/>
    </row>
    <row r="16" spans="2:10" ht="14.65" thickBot="1" x14ac:dyDescent="0.5">
      <c r="B16" s="4"/>
      <c r="C16" s="429" t="s">
        <v>565</v>
      </c>
      <c r="D16" s="430"/>
      <c r="E16" s="431"/>
      <c r="F16" s="16"/>
      <c r="G16" s="6"/>
      <c r="H16" s="6"/>
      <c r="I16" s="6"/>
      <c r="J16" s="5"/>
    </row>
    <row r="17" spans="2:11" x14ac:dyDescent="0.45">
      <c r="B17" s="17"/>
      <c r="C17" s="18"/>
      <c r="D17" s="18"/>
      <c r="E17" s="18"/>
      <c r="F17" s="18"/>
      <c r="G17" s="18"/>
      <c r="H17" s="18"/>
      <c r="I17" s="18"/>
      <c r="J17" s="19"/>
    </row>
    <row r="19" spans="2:11" ht="28.5" x14ac:dyDescent="0.85">
      <c r="C19" s="438" t="s">
        <v>18</v>
      </c>
      <c r="D19" s="438"/>
      <c r="E19" s="438"/>
      <c r="F19" s="438"/>
      <c r="G19" s="438"/>
      <c r="H19" s="438"/>
      <c r="I19" s="438"/>
    </row>
    <row r="20" spans="2:11" ht="15.75" x14ac:dyDescent="0.45">
      <c r="C20" s="439" t="s">
        <v>19</v>
      </c>
      <c r="D20" s="439"/>
      <c r="E20" s="439"/>
      <c r="F20" s="24" t="s">
        <v>20</v>
      </c>
      <c r="G20" s="24" t="s">
        <v>21</v>
      </c>
      <c r="H20" s="24" t="s">
        <v>22</v>
      </c>
      <c r="I20" s="24" t="s">
        <v>23</v>
      </c>
    </row>
    <row r="21" spans="2:11" ht="25.5" x14ac:dyDescent="0.75">
      <c r="B21" s="39"/>
      <c r="C21" s="424" t="s">
        <v>24</v>
      </c>
      <c r="D21" s="424"/>
      <c r="E21" s="425"/>
      <c r="F21" s="26"/>
      <c r="G21" s="26"/>
      <c r="H21" s="26"/>
      <c r="I21" s="27"/>
    </row>
    <row r="22" spans="2:11" x14ac:dyDescent="0.45">
      <c r="B22" s="39"/>
      <c r="C22" s="23" t="s">
        <v>530</v>
      </c>
      <c r="D22" s="23"/>
      <c r="E22" s="25"/>
      <c r="F22" s="28">
        <v>0.13</v>
      </c>
      <c r="G22" s="25"/>
      <c r="H22" s="28">
        <v>0.13</v>
      </c>
      <c r="I22" s="29" t="s">
        <v>25</v>
      </c>
      <c r="J22" t="s">
        <v>592</v>
      </c>
      <c r="K22" s="406">
        <v>7.0000000000000007E-2</v>
      </c>
    </row>
    <row r="23" spans="2:11" x14ac:dyDescent="0.45">
      <c r="B23" s="39"/>
      <c r="C23" s="23" t="s">
        <v>26</v>
      </c>
      <c r="D23" s="23"/>
      <c r="E23" s="25"/>
      <c r="F23" s="28">
        <v>3.0000000000000001E-3</v>
      </c>
      <c r="G23" s="25"/>
      <c r="H23" s="28">
        <v>3.0000000000000001E-3</v>
      </c>
      <c r="I23" s="29" t="s">
        <v>25</v>
      </c>
    </row>
    <row r="24" spans="2:11" x14ac:dyDescent="0.45">
      <c r="B24" s="39"/>
      <c r="C24" s="23" t="s">
        <v>27</v>
      </c>
      <c r="D24" s="23"/>
      <c r="E24" s="25"/>
      <c r="F24" s="28">
        <v>8.5500000000000007E-2</v>
      </c>
      <c r="G24" s="28">
        <v>6.9000000000000006E-2</v>
      </c>
      <c r="H24" s="28">
        <v>0.1545</v>
      </c>
      <c r="I24" s="30" t="s">
        <v>28</v>
      </c>
    </row>
    <row r="25" spans="2:11" x14ac:dyDescent="0.45">
      <c r="B25" s="39"/>
      <c r="C25" s="23" t="s">
        <v>29</v>
      </c>
      <c r="D25" s="23"/>
      <c r="E25" s="25"/>
      <c r="F25" s="28">
        <v>2.1100000000000001E-2</v>
      </c>
      <c r="G25" s="28">
        <v>4.0000000000000001E-3</v>
      </c>
      <c r="H25" s="28">
        <v>2.5100000000000001E-2</v>
      </c>
      <c r="I25" s="29" t="s">
        <v>25</v>
      </c>
    </row>
    <row r="26" spans="2:11" x14ac:dyDescent="0.45">
      <c r="B26" s="39"/>
      <c r="C26" s="23" t="s">
        <v>531</v>
      </c>
      <c r="D26" s="23"/>
      <c r="E26" s="25"/>
      <c r="F26" s="28">
        <v>5.2499999999999998E-2</v>
      </c>
      <c r="G26" s="25"/>
      <c r="H26" s="28">
        <v>5.2499999999999998E-2</v>
      </c>
      <c r="I26" s="29" t="s">
        <v>25</v>
      </c>
      <c r="J26" t="s">
        <v>592</v>
      </c>
      <c r="K26" s="407">
        <v>3.4500000000000003E-2</v>
      </c>
    </row>
    <row r="27" spans="2:11" x14ac:dyDescent="0.45">
      <c r="B27" s="39"/>
      <c r="C27" s="31" t="s">
        <v>30</v>
      </c>
      <c r="D27" s="32"/>
      <c r="E27" s="26"/>
      <c r="F27" s="34">
        <v>1E-3</v>
      </c>
      <c r="G27" s="26"/>
      <c r="H27" s="35">
        <v>1E-3</v>
      </c>
      <c r="I27" s="27" t="s">
        <v>28</v>
      </c>
    </row>
    <row r="28" spans="2:11" x14ac:dyDescent="0.45">
      <c r="B28" s="39"/>
      <c r="C28" s="23" t="s">
        <v>31</v>
      </c>
      <c r="D28" s="23"/>
      <c r="E28" s="25"/>
      <c r="F28" s="28">
        <v>5.0000000000000001E-3</v>
      </c>
      <c r="G28" s="25"/>
      <c r="H28" s="28">
        <v>5.0000000000000001E-3</v>
      </c>
      <c r="I28" s="29" t="s">
        <v>25</v>
      </c>
    </row>
    <row r="29" spans="2:11" x14ac:dyDescent="0.45">
      <c r="B29" s="39"/>
      <c r="C29" s="23" t="s">
        <v>32</v>
      </c>
      <c r="D29" s="23"/>
      <c r="E29" s="25"/>
      <c r="F29" s="25"/>
      <c r="G29" s="25"/>
      <c r="H29" s="25"/>
      <c r="I29" s="29" t="s">
        <v>25</v>
      </c>
    </row>
    <row r="30" spans="2:11" x14ac:dyDescent="0.45">
      <c r="B30" s="39"/>
      <c r="C30" s="23" t="s">
        <v>33</v>
      </c>
      <c r="D30" s="23"/>
      <c r="E30" s="25"/>
      <c r="F30" s="25"/>
      <c r="G30" s="28">
        <v>2.4E-2</v>
      </c>
      <c r="H30" s="28">
        <v>2.4E-2</v>
      </c>
      <c r="I30" s="29" t="s">
        <v>34</v>
      </c>
    </row>
    <row r="31" spans="2:11" x14ac:dyDescent="0.45">
      <c r="B31" s="39"/>
      <c r="C31" s="23" t="s">
        <v>35</v>
      </c>
      <c r="D31" s="23"/>
      <c r="E31" s="25"/>
      <c r="F31" s="25"/>
      <c r="G31" s="28">
        <v>6.8000000000000005E-2</v>
      </c>
      <c r="H31" s="28">
        <v>6.8000000000000005E-2</v>
      </c>
      <c r="I31" s="29" t="s">
        <v>34</v>
      </c>
    </row>
    <row r="32" spans="2:11" x14ac:dyDescent="0.45">
      <c r="B32" s="39"/>
      <c r="C32" s="23" t="s">
        <v>36</v>
      </c>
      <c r="D32" s="23"/>
      <c r="E32" s="25"/>
      <c r="F32" s="25"/>
      <c r="G32" s="28">
        <v>5.0000000000000001E-3</v>
      </c>
      <c r="H32" s="28">
        <v>5.0000000000000001E-3</v>
      </c>
      <c r="I32" s="29" t="s">
        <v>34</v>
      </c>
    </row>
    <row r="33" spans="2:10" x14ac:dyDescent="0.45">
      <c r="B33" s="39"/>
      <c r="C33" s="23" t="s">
        <v>37</v>
      </c>
      <c r="D33" s="23"/>
      <c r="E33" s="25"/>
      <c r="F33" s="28">
        <v>0.08</v>
      </c>
      <c r="G33" s="25"/>
      <c r="H33" s="28">
        <v>0.08</v>
      </c>
      <c r="I33" s="30" t="s">
        <v>38</v>
      </c>
    </row>
    <row r="34" spans="2:10" x14ac:dyDescent="0.45">
      <c r="B34" s="39"/>
      <c r="C34" s="23" t="s">
        <v>39</v>
      </c>
      <c r="D34" s="23"/>
      <c r="E34" s="25"/>
      <c r="F34" s="36">
        <v>1.6000000000000001E-4</v>
      </c>
      <c r="G34" s="25"/>
      <c r="H34" s="36">
        <v>1.6000000000000001E-4</v>
      </c>
      <c r="I34" s="29" t="s">
        <v>25</v>
      </c>
    </row>
    <row r="35" spans="2:10" x14ac:dyDescent="0.45">
      <c r="B35" s="39"/>
      <c r="C35" s="23" t="s">
        <v>567</v>
      </c>
      <c r="D35" s="23"/>
      <c r="E35" s="25"/>
      <c r="F35" s="25"/>
      <c r="G35" s="25"/>
      <c r="H35" s="25"/>
      <c r="I35" s="29" t="s">
        <v>25</v>
      </c>
    </row>
    <row r="36" spans="2:10" ht="25.5" x14ac:dyDescent="0.75">
      <c r="B36" s="39"/>
      <c r="C36" s="423" t="s">
        <v>568</v>
      </c>
      <c r="D36" s="424"/>
      <c r="E36" s="425"/>
      <c r="F36" s="33"/>
      <c r="G36" s="26"/>
      <c r="H36" s="26"/>
      <c r="I36" s="27"/>
      <c r="J36" s="287" t="s">
        <v>595</v>
      </c>
    </row>
    <row r="37" spans="2:10" x14ac:dyDescent="0.45">
      <c r="B37" s="39"/>
      <c r="C37" s="23" t="s">
        <v>40</v>
      </c>
      <c r="D37" s="23"/>
      <c r="E37" s="25"/>
      <c r="F37" s="28">
        <v>0.04</v>
      </c>
      <c r="G37" s="369"/>
      <c r="H37" s="28">
        <v>0.04</v>
      </c>
      <c r="I37" s="29" t="s">
        <v>41</v>
      </c>
      <c r="J37" s="288">
        <f>4*F58</f>
        <v>16020</v>
      </c>
    </row>
    <row r="38" spans="2:10" x14ac:dyDescent="0.45">
      <c r="B38" s="39"/>
      <c r="C38" s="23" t="s">
        <v>42</v>
      </c>
      <c r="D38" s="23"/>
      <c r="E38" s="25"/>
      <c r="F38" s="28">
        <v>2.5000000000000001E-3</v>
      </c>
      <c r="G38" s="25"/>
      <c r="H38" s="28">
        <v>2.5000000000000001E-3</v>
      </c>
      <c r="I38" s="29" t="s">
        <v>41</v>
      </c>
      <c r="J38" s="288">
        <f>J37</f>
        <v>16020</v>
      </c>
    </row>
    <row r="39" spans="2:10" x14ac:dyDescent="0.45">
      <c r="B39" s="39"/>
      <c r="C39" s="23"/>
      <c r="D39" s="23"/>
      <c r="E39" s="25"/>
      <c r="F39" s="25"/>
      <c r="G39" s="25"/>
      <c r="H39" s="25"/>
      <c r="I39" s="29"/>
    </row>
    <row r="40" spans="2:10" ht="25.5" x14ac:dyDescent="0.75">
      <c r="B40" s="39"/>
      <c r="C40" s="423" t="s">
        <v>43</v>
      </c>
      <c r="D40" s="424"/>
      <c r="E40" s="425"/>
      <c r="F40" s="33"/>
      <c r="G40" s="26"/>
      <c r="H40" s="26"/>
      <c r="I40" s="27"/>
    </row>
    <row r="41" spans="2:10" x14ac:dyDescent="0.45">
      <c r="B41" s="39"/>
      <c r="C41" s="23"/>
      <c r="D41" s="23"/>
      <c r="E41" s="25"/>
      <c r="F41" s="25"/>
      <c r="G41" s="25"/>
      <c r="H41" s="25"/>
      <c r="I41" s="29"/>
    </row>
    <row r="42" spans="2:10" x14ac:dyDescent="0.45">
      <c r="B42" s="39"/>
      <c r="C42" s="37" t="s">
        <v>44</v>
      </c>
      <c r="D42" s="23"/>
      <c r="E42" s="25"/>
      <c r="F42" s="25"/>
      <c r="G42" s="25"/>
      <c r="H42" s="25"/>
      <c r="I42" s="29"/>
    </row>
    <row r="43" spans="2:10" x14ac:dyDescent="0.45">
      <c r="B43" s="39"/>
      <c r="C43" s="23" t="s">
        <v>45</v>
      </c>
      <c r="D43" s="23"/>
      <c r="E43" s="25"/>
      <c r="F43" s="36">
        <v>3.6000000000000002E-4</v>
      </c>
      <c r="G43" s="36">
        <v>2.4000000000000001E-4</v>
      </c>
      <c r="H43" s="28">
        <v>5.9999999999999995E-4</v>
      </c>
      <c r="I43" s="29" t="s">
        <v>46</v>
      </c>
    </row>
    <row r="44" spans="2:10" x14ac:dyDescent="0.45">
      <c r="B44" s="39"/>
      <c r="C44" s="23" t="s">
        <v>47</v>
      </c>
      <c r="D44" s="23"/>
      <c r="E44" s="25"/>
      <c r="F44" s="28">
        <v>1.4999999999999999E-2</v>
      </c>
      <c r="G44" s="25"/>
      <c r="H44" s="28">
        <v>1.4999999999999999E-2</v>
      </c>
      <c r="I44" s="29" t="s">
        <v>48</v>
      </c>
    </row>
    <row r="45" spans="2:10" x14ac:dyDescent="0.45">
      <c r="B45" s="39"/>
      <c r="C45" s="37" t="s">
        <v>49</v>
      </c>
      <c r="D45" s="23"/>
      <c r="E45" s="25"/>
      <c r="F45" s="25"/>
      <c r="G45" s="25"/>
      <c r="H45" s="25"/>
      <c r="I45" s="29"/>
    </row>
    <row r="46" spans="2:10" x14ac:dyDescent="0.45">
      <c r="B46" s="39"/>
      <c r="C46" s="23" t="s">
        <v>50</v>
      </c>
      <c r="D46" s="23"/>
      <c r="E46" s="25"/>
      <c r="F46" s="28">
        <v>4.7199999999999999E-2</v>
      </c>
      <c r="G46" s="28">
        <v>3.15E-2</v>
      </c>
      <c r="H46" s="28">
        <v>7.8700000000000006E-2</v>
      </c>
      <c r="I46" s="29" t="s">
        <v>48</v>
      </c>
    </row>
    <row r="47" spans="2:10" x14ac:dyDescent="0.45">
      <c r="B47" s="39"/>
      <c r="C47" s="23" t="s">
        <v>51</v>
      </c>
      <c r="D47" s="23"/>
      <c r="E47" s="25"/>
      <c r="F47" s="28">
        <v>0.1295</v>
      </c>
      <c r="G47" s="28">
        <v>8.6400000000000005E-2</v>
      </c>
      <c r="H47" s="28">
        <v>0.21590000000000001</v>
      </c>
      <c r="I47" s="29" t="s">
        <v>52</v>
      </c>
    </row>
    <row r="48" spans="2:10" x14ac:dyDescent="0.45">
      <c r="B48" s="39"/>
      <c r="C48" s="23" t="s">
        <v>53</v>
      </c>
      <c r="D48" s="23"/>
      <c r="E48" s="25"/>
      <c r="F48" s="28">
        <v>2.0999999999999999E-3</v>
      </c>
      <c r="G48" s="28">
        <v>1.4E-3</v>
      </c>
      <c r="H48" s="28">
        <v>3.5000000000000001E-3</v>
      </c>
      <c r="I48" s="29" t="s">
        <v>54</v>
      </c>
    </row>
    <row r="49" spans="2:13" x14ac:dyDescent="0.45">
      <c r="B49" s="39"/>
      <c r="C49" s="23" t="s">
        <v>55</v>
      </c>
      <c r="D49" s="23"/>
      <c r="E49" s="25"/>
      <c r="F49" s="28">
        <v>1.29E-2</v>
      </c>
      <c r="G49" s="28">
        <v>8.6E-3</v>
      </c>
      <c r="H49" s="28">
        <v>2.1499999999999998E-2</v>
      </c>
      <c r="I49" s="29" t="s">
        <v>48</v>
      </c>
    </row>
    <row r="50" spans="2:13" x14ac:dyDescent="0.45">
      <c r="B50" s="39"/>
      <c r="C50" s="68" t="s">
        <v>56</v>
      </c>
      <c r="D50" s="63"/>
      <c r="E50" s="46"/>
      <c r="F50" s="76">
        <v>1.6199999999999999E-2</v>
      </c>
      <c r="G50" s="76">
        <v>1.0800000000000001E-2</v>
      </c>
      <c r="H50" s="76">
        <v>2.7E-2</v>
      </c>
      <c r="I50" s="384" t="s">
        <v>52</v>
      </c>
    </row>
    <row r="51" spans="2:13" ht="25.5" x14ac:dyDescent="0.75">
      <c r="B51" s="39"/>
      <c r="C51" s="423" t="s">
        <v>536</v>
      </c>
      <c r="D51" s="424"/>
      <c r="E51" s="425"/>
      <c r="F51" s="25"/>
      <c r="G51" s="25"/>
      <c r="H51" s="25"/>
      <c r="I51" s="25"/>
    </row>
    <row r="52" spans="2:13" x14ac:dyDescent="0.45">
      <c r="B52" s="39"/>
      <c r="C52" s="23" t="s">
        <v>532</v>
      </c>
      <c r="D52" s="23"/>
      <c r="E52" s="25"/>
      <c r="F52" s="28">
        <v>5.4999999999999997E-3</v>
      </c>
      <c r="G52" s="25"/>
      <c r="H52" s="28">
        <v>5.4999999999999997E-3</v>
      </c>
      <c r="I52" s="29" t="s">
        <v>25</v>
      </c>
    </row>
    <row r="53" spans="2:13" x14ac:dyDescent="0.45">
      <c r="B53" s="39"/>
      <c r="C53" s="23" t="s">
        <v>533</v>
      </c>
      <c r="D53" s="23"/>
      <c r="E53" s="25"/>
      <c r="F53" s="28">
        <v>0.01</v>
      </c>
      <c r="G53" s="25"/>
      <c r="H53" s="28">
        <v>0.01</v>
      </c>
      <c r="I53" s="29" t="s">
        <v>25</v>
      </c>
    </row>
    <row r="54" spans="2:13" x14ac:dyDescent="0.45">
      <c r="B54" s="39"/>
      <c r="C54" s="23" t="s">
        <v>534</v>
      </c>
      <c r="D54" s="23"/>
      <c r="E54" s="25"/>
      <c r="F54" s="28">
        <v>0.01</v>
      </c>
      <c r="G54" s="25"/>
      <c r="H54" s="28">
        <v>0.01</v>
      </c>
      <c r="I54" s="29" t="s">
        <v>25</v>
      </c>
    </row>
    <row r="55" spans="2:13" x14ac:dyDescent="0.45">
      <c r="B55" s="39"/>
      <c r="C55" s="23" t="s">
        <v>406</v>
      </c>
      <c r="D55" s="23"/>
      <c r="E55" s="25"/>
      <c r="F55" s="28">
        <v>6.7999999999999996E-3</v>
      </c>
      <c r="G55" s="25"/>
      <c r="H55" s="28">
        <v>6.7999999999999996E-3</v>
      </c>
      <c r="I55" s="29" t="s">
        <v>25</v>
      </c>
      <c r="J55" t="s">
        <v>593</v>
      </c>
      <c r="L55" s="407">
        <v>5.8999999999999999E-3</v>
      </c>
    </row>
    <row r="56" spans="2:13" x14ac:dyDescent="0.45">
      <c r="B56" s="39"/>
      <c r="C56" s="23" t="s">
        <v>535</v>
      </c>
      <c r="D56" s="23"/>
      <c r="E56" s="25"/>
      <c r="F56" s="28">
        <v>4.4999999999999997E-3</v>
      </c>
      <c r="G56" s="25"/>
      <c r="H56" s="28">
        <v>4.4999999999999997E-3</v>
      </c>
      <c r="I56" s="29" t="s">
        <v>25</v>
      </c>
      <c r="J56" t="s">
        <v>594</v>
      </c>
      <c r="L56" s="407">
        <v>8.9999999999999998E-4</v>
      </c>
    </row>
    <row r="57" spans="2:13" ht="25.9" thickBot="1" x14ac:dyDescent="0.8">
      <c r="B57" s="39"/>
      <c r="C57" s="423" t="s">
        <v>57</v>
      </c>
      <c r="D57" s="424"/>
      <c r="E57" s="425"/>
      <c r="F57" s="33"/>
      <c r="G57" s="26"/>
      <c r="H57" s="26"/>
      <c r="I57" s="26"/>
    </row>
    <row r="58" spans="2:13" ht="14.65" thickBot="1" x14ac:dyDescent="0.5">
      <c r="B58" s="39"/>
      <c r="C58" s="23" t="s">
        <v>58</v>
      </c>
      <c r="D58" s="23"/>
      <c r="E58" s="23"/>
      <c r="F58" s="47">
        <v>4005</v>
      </c>
      <c r="G58" s="25"/>
      <c r="H58" s="25"/>
      <c r="I58" s="25"/>
    </row>
    <row r="59" spans="2:13" x14ac:dyDescent="0.45">
      <c r="B59" s="39"/>
      <c r="C59" s="23" t="s">
        <v>59</v>
      </c>
      <c r="D59" s="23"/>
      <c r="E59" s="25"/>
      <c r="F59" s="38">
        <f>F58*12</f>
        <v>48060</v>
      </c>
      <c r="G59" s="25"/>
      <c r="H59" s="25"/>
      <c r="I59" s="25"/>
    </row>
    <row r="60" spans="2:13" x14ac:dyDescent="0.45">
      <c r="B60" s="39"/>
      <c r="C60" s="23"/>
      <c r="D60" s="23"/>
      <c r="E60" s="25"/>
      <c r="F60" s="38"/>
      <c r="G60" s="25"/>
      <c r="H60" s="25"/>
      <c r="I60" s="25"/>
    </row>
    <row r="61" spans="2:13" x14ac:dyDescent="0.45">
      <c r="B61" s="39"/>
      <c r="C61" s="23" t="s">
        <v>60</v>
      </c>
      <c r="D61" s="23"/>
      <c r="E61" s="25"/>
      <c r="F61" s="38">
        <f>F58*12*4</f>
        <v>192240</v>
      </c>
      <c r="G61" s="25"/>
      <c r="H61" s="25"/>
      <c r="I61" s="25"/>
    </row>
    <row r="62" spans="2:13" x14ac:dyDescent="0.45">
      <c r="B62" s="39"/>
      <c r="C62" s="23" t="s">
        <v>61</v>
      </c>
      <c r="D62" s="23"/>
      <c r="E62" s="25"/>
      <c r="F62" s="38"/>
      <c r="G62" s="25"/>
      <c r="H62" s="25"/>
      <c r="I62" s="25"/>
    </row>
    <row r="63" spans="2:13" x14ac:dyDescent="0.45">
      <c r="B63" s="39"/>
      <c r="C63" t="s">
        <v>62</v>
      </c>
      <c r="E63" s="39"/>
      <c r="F63" s="40">
        <f>F58</f>
        <v>4005</v>
      </c>
      <c r="G63" s="25"/>
      <c r="H63" s="25"/>
      <c r="I63" s="25"/>
      <c r="K63" s="422" t="s">
        <v>603</v>
      </c>
      <c r="L63" s="9">
        <v>11.88</v>
      </c>
      <c r="M63" s="418">
        <v>45992</v>
      </c>
    </row>
    <row r="64" spans="2:13" x14ac:dyDescent="0.45">
      <c r="B64" s="39"/>
      <c r="C64" s="23" t="s">
        <v>63</v>
      </c>
      <c r="D64" s="23"/>
      <c r="E64" s="25"/>
      <c r="F64" s="38">
        <f>F63*3</f>
        <v>12015</v>
      </c>
      <c r="G64" s="25"/>
      <c r="H64" s="25"/>
      <c r="I64" s="25"/>
      <c r="K64" s="422"/>
      <c r="L64" s="9">
        <v>12.02</v>
      </c>
      <c r="M64" s="418">
        <v>46023</v>
      </c>
    </row>
    <row r="65" spans="2:13" x14ac:dyDescent="0.45">
      <c r="B65" s="39"/>
      <c r="C65" s="23" t="s">
        <v>64</v>
      </c>
      <c r="D65" s="23"/>
      <c r="E65" s="25"/>
      <c r="F65" s="38">
        <f>F58</f>
        <v>4005</v>
      </c>
      <c r="G65" s="25"/>
      <c r="H65" s="25"/>
      <c r="I65" s="25"/>
      <c r="K65" s="422"/>
      <c r="L65" s="9">
        <v>12.31</v>
      </c>
      <c r="M65" s="418">
        <v>46174</v>
      </c>
    </row>
    <row r="66" spans="2:13" x14ac:dyDescent="0.45">
      <c r="B66" s="39"/>
      <c r="C66" s="23" t="s">
        <v>65</v>
      </c>
      <c r="D66" s="23"/>
      <c r="E66" s="25"/>
      <c r="F66" s="38">
        <f>F65*7</f>
        <v>28035</v>
      </c>
      <c r="G66" s="25"/>
      <c r="H66" s="25"/>
      <c r="I66" s="25"/>
    </row>
    <row r="67" spans="2:13" x14ac:dyDescent="0.45">
      <c r="B67" s="39"/>
      <c r="C67" s="23" t="s">
        <v>66</v>
      </c>
      <c r="D67" s="23"/>
      <c r="E67" s="25"/>
      <c r="F67" s="39"/>
      <c r="G67" s="39"/>
      <c r="H67" s="39"/>
      <c r="I67" s="25"/>
    </row>
    <row r="68" spans="2:13" x14ac:dyDescent="0.45">
      <c r="B68" s="39"/>
      <c r="C68" t="s">
        <v>67</v>
      </c>
      <c r="E68" s="25"/>
      <c r="F68" s="25"/>
      <c r="G68" s="25"/>
      <c r="H68" s="25"/>
      <c r="I68" s="25"/>
    </row>
    <row r="69" spans="2:13" x14ac:dyDescent="0.45">
      <c r="B69" s="39"/>
      <c r="C69" s="23" t="s">
        <v>68</v>
      </c>
      <c r="D69" s="23"/>
      <c r="E69" s="25"/>
      <c r="F69" s="25">
        <v>4.25</v>
      </c>
      <c r="G69" s="25"/>
      <c r="H69" s="25"/>
      <c r="I69" s="25"/>
      <c r="K69" s="420" t="s">
        <v>607</v>
      </c>
      <c r="L69" s="9">
        <v>4.25</v>
      </c>
      <c r="M69" s="418">
        <v>46023</v>
      </c>
    </row>
    <row r="70" spans="2:13" ht="14.65" thickBot="1" x14ac:dyDescent="0.5">
      <c r="B70" s="39"/>
      <c r="C70" s="23"/>
      <c r="D70" s="23"/>
      <c r="E70" s="25"/>
      <c r="F70" s="25"/>
      <c r="G70" s="292" t="s">
        <v>509</v>
      </c>
      <c r="H70" s="25"/>
      <c r="I70" s="25"/>
      <c r="K70" s="9"/>
      <c r="L70" s="9">
        <v>4.3499999999999996</v>
      </c>
      <c r="M70" s="418">
        <v>46174</v>
      </c>
    </row>
    <row r="71" spans="2:13" ht="14.65" thickBot="1" x14ac:dyDescent="0.5">
      <c r="B71" s="39"/>
      <c r="C71" s="41" t="s">
        <v>69</v>
      </c>
      <c r="D71" s="23"/>
      <c r="E71" s="23"/>
      <c r="F71" s="42">
        <v>12.02</v>
      </c>
      <c r="G71" s="285">
        <v>11.88</v>
      </c>
      <c r="H71" s="25"/>
      <c r="I71" s="25"/>
    </row>
    <row r="72" spans="2:13" x14ac:dyDescent="0.45">
      <c r="B72" s="39"/>
      <c r="C72" s="41" t="s">
        <v>70</v>
      </c>
      <c r="D72" s="23"/>
      <c r="E72" s="25"/>
      <c r="F72" s="43">
        <f>F71*151.67</f>
        <v>1823.0733999999998</v>
      </c>
      <c r="G72" s="286">
        <f>G71*151.67</f>
        <v>1801.8396</v>
      </c>
      <c r="H72" s="25"/>
      <c r="I72" s="25"/>
    </row>
    <row r="73" spans="2:13" x14ac:dyDescent="0.45">
      <c r="B73" s="39"/>
      <c r="C73" s="37" t="s">
        <v>71</v>
      </c>
      <c r="D73" s="23"/>
      <c r="E73" s="25"/>
      <c r="F73" s="44">
        <f>1.6*F72</f>
        <v>2916.9174399999997</v>
      </c>
      <c r="G73" s="392"/>
      <c r="H73" s="25"/>
      <c r="I73" s="25"/>
    </row>
    <row r="74" spans="2:13" x14ac:dyDescent="0.45">
      <c r="C74" s="37" t="s">
        <v>551</v>
      </c>
      <c r="D74" s="23"/>
      <c r="E74" s="25"/>
      <c r="F74" s="44">
        <f>1.4*F72</f>
        <v>2552.3027599999996</v>
      </c>
      <c r="G74" s="392"/>
      <c r="H74" s="25"/>
      <c r="I74" s="25"/>
    </row>
    <row r="75" spans="2:13" x14ac:dyDescent="0.45">
      <c r="C75" s="37" t="s">
        <v>543</v>
      </c>
      <c r="D75" s="23"/>
      <c r="E75" s="25"/>
      <c r="F75" s="44">
        <f>2.25*F72</f>
        <v>4101.9151499999998</v>
      </c>
      <c r="G75" s="392"/>
      <c r="H75" s="25"/>
      <c r="I75" s="25"/>
    </row>
    <row r="76" spans="2:13" x14ac:dyDescent="0.45">
      <c r="C76" s="37" t="s">
        <v>544</v>
      </c>
      <c r="D76" s="23"/>
      <c r="E76" s="25"/>
      <c r="F76" s="75">
        <f>3.3*F72</f>
        <v>6016.1422199999988</v>
      </c>
      <c r="G76" s="393"/>
      <c r="H76" s="46"/>
      <c r="I76" s="46"/>
    </row>
    <row r="77" spans="2:13" x14ac:dyDescent="0.45">
      <c r="C77" s="280" t="s">
        <v>511</v>
      </c>
      <c r="D77" s="281"/>
      <c r="E77" s="340"/>
      <c r="F77" s="82">
        <v>748</v>
      </c>
      <c r="G77" s="60"/>
      <c r="H77" s="60"/>
      <c r="I77" s="60"/>
      <c r="L77" s="363"/>
    </row>
    <row r="78" spans="2:13" x14ac:dyDescent="0.45">
      <c r="C78" s="284" t="s">
        <v>549</v>
      </c>
      <c r="D78" s="49"/>
      <c r="E78" s="49"/>
      <c r="F78" s="14">
        <v>0.39810000000000001</v>
      </c>
      <c r="G78" s="14"/>
      <c r="H78" s="14"/>
      <c r="I78" s="14"/>
    </row>
    <row r="79" spans="2:13" x14ac:dyDescent="0.45">
      <c r="C79" s="284" t="s">
        <v>550</v>
      </c>
      <c r="D79" s="49"/>
      <c r="E79" s="49"/>
      <c r="F79" s="14">
        <v>0.40210000000000001</v>
      </c>
      <c r="G79" s="14"/>
      <c r="H79" s="14"/>
      <c r="I79" s="14"/>
    </row>
    <row r="80" spans="2:13" x14ac:dyDescent="0.45">
      <c r="D80" s="332"/>
      <c r="E80" s="332"/>
      <c r="F80" s="50"/>
    </row>
    <row r="81" spans="3:6" x14ac:dyDescent="0.45">
      <c r="F81" s="50"/>
    </row>
    <row r="82" spans="3:6" x14ac:dyDescent="0.45">
      <c r="F82" s="50"/>
    </row>
    <row r="83" spans="3:6" x14ac:dyDescent="0.45">
      <c r="F83" s="50"/>
    </row>
    <row r="84" spans="3:6" x14ac:dyDescent="0.45">
      <c r="C84" s="51"/>
      <c r="F84" s="50"/>
    </row>
    <row r="85" spans="3:6" x14ac:dyDescent="0.45">
      <c r="F85" s="50"/>
    </row>
    <row r="86" spans="3:6" x14ac:dyDescent="0.45">
      <c r="F86" s="50"/>
    </row>
    <row r="87" spans="3:6" x14ac:dyDescent="0.45">
      <c r="F87" s="50"/>
    </row>
    <row r="88" spans="3:6" x14ac:dyDescent="0.45">
      <c r="C88" s="51"/>
      <c r="F88" s="50"/>
    </row>
    <row r="89" spans="3:6" x14ac:dyDescent="0.45">
      <c r="F89" s="50"/>
    </row>
    <row r="90" spans="3:6" x14ac:dyDescent="0.45">
      <c r="F90" s="50"/>
    </row>
    <row r="91" spans="3:6" x14ac:dyDescent="0.45">
      <c r="F91" s="50"/>
    </row>
    <row r="92" spans="3:6" x14ac:dyDescent="0.45">
      <c r="F92" s="50"/>
    </row>
    <row r="93" spans="3:6" x14ac:dyDescent="0.45">
      <c r="F93" s="50"/>
    </row>
    <row r="94" spans="3:6" x14ac:dyDescent="0.45">
      <c r="F94" s="50"/>
    </row>
    <row r="95" spans="3:6" x14ac:dyDescent="0.45">
      <c r="F95" s="50"/>
    </row>
    <row r="96" spans="3:6" x14ac:dyDescent="0.45">
      <c r="F96" s="50"/>
    </row>
    <row r="97" spans="2:6" x14ac:dyDescent="0.45">
      <c r="F97" s="50"/>
    </row>
    <row r="98" spans="2:6" x14ac:dyDescent="0.45">
      <c r="F98" s="50"/>
    </row>
    <row r="99" spans="2:6" x14ac:dyDescent="0.45">
      <c r="B99" s="39"/>
    </row>
    <row r="100" spans="2:6" x14ac:dyDescent="0.45">
      <c r="B100" s="39"/>
    </row>
  </sheetData>
  <mergeCells count="12">
    <mergeCell ref="K63:K65"/>
    <mergeCell ref="C57:E57"/>
    <mergeCell ref="C15:E15"/>
    <mergeCell ref="C16:E16"/>
    <mergeCell ref="C3:I3"/>
    <mergeCell ref="C13:E13"/>
    <mergeCell ref="C19:I19"/>
    <mergeCell ref="C20:E20"/>
    <mergeCell ref="C21:E21"/>
    <mergeCell ref="C36:E36"/>
    <mergeCell ref="C40:E40"/>
    <mergeCell ref="C51:E51"/>
  </mergeCells>
  <dataValidations count="2">
    <dataValidation type="list" allowBlank="1" showInputMessage="1" showErrorMessage="1" sqref="F71" xr:uid="{FCD3C2DB-AEEC-44FC-A77B-630883452DB8}">
      <formula1>$L$63:$L$65</formula1>
    </dataValidation>
    <dataValidation type="list" allowBlank="1" showInputMessage="1" showErrorMessage="1" sqref="F69" xr:uid="{0D93EE50-FBBF-42EC-8F44-3D4B300E5A1C}">
      <formula1>$L$69:$L$70</formula1>
    </dataValidation>
  </dataValidations>
  <pageMargins left="0.25" right="0.25" top="0.75" bottom="0.75" header="0.3" footer="0.3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4DF-E111-4A58-84AF-644633EB112F}">
  <dimension ref="B2:S52"/>
  <sheetViews>
    <sheetView zoomScale="70" zoomScaleNormal="70" workbookViewId="0">
      <selection activeCell="G9" sqref="G9"/>
    </sheetView>
  </sheetViews>
  <sheetFormatPr baseColWidth="10" defaultRowHeight="14.25" x14ac:dyDescent="0.45"/>
  <cols>
    <col min="1" max="1" width="3.265625" customWidth="1"/>
    <col min="7" max="7" width="6.06640625" customWidth="1"/>
    <col min="17" max="17" width="25.1328125" customWidth="1"/>
    <col min="18" max="18" width="25.86328125" customWidth="1"/>
    <col min="19" max="19" width="29.796875" customWidth="1"/>
    <col min="20" max="20" width="38.46484375" customWidth="1"/>
  </cols>
  <sheetData>
    <row r="2" spans="2:19" ht="18" x14ac:dyDescent="0.55000000000000004">
      <c r="B2" s="544" t="s">
        <v>323</v>
      </c>
      <c r="C2" s="544"/>
      <c r="D2" s="544"/>
      <c r="E2" s="544"/>
      <c r="F2" s="544"/>
      <c r="H2" s="544" t="s">
        <v>324</v>
      </c>
      <c r="I2" s="544"/>
      <c r="J2" s="544"/>
      <c r="K2" s="544"/>
      <c r="L2" s="544"/>
      <c r="M2" s="544"/>
      <c r="N2" s="544"/>
      <c r="O2" s="544"/>
    </row>
    <row r="3" spans="2:19" x14ac:dyDescent="0.45">
      <c r="B3" s="135" t="s">
        <v>325</v>
      </c>
      <c r="C3" s="136"/>
      <c r="D3" s="136"/>
      <c r="E3" s="135" t="s">
        <v>326</v>
      </c>
      <c r="F3" s="137"/>
      <c r="H3" s="550" t="s">
        <v>327</v>
      </c>
      <c r="I3" s="550"/>
      <c r="J3" s="550"/>
      <c r="K3" s="550"/>
      <c r="L3" s="105" t="s">
        <v>328</v>
      </c>
      <c r="M3" s="105" t="s">
        <v>329</v>
      </c>
      <c r="N3" s="105"/>
      <c r="O3" s="105"/>
      <c r="Q3" s="9" t="s">
        <v>608</v>
      </c>
      <c r="R3" s="9">
        <v>4.25</v>
      </c>
      <c r="S3" s="418">
        <v>46023</v>
      </c>
    </row>
    <row r="4" spans="2:19" x14ac:dyDescent="0.45">
      <c r="B4" s="138" t="s">
        <v>330</v>
      </c>
      <c r="C4" s="9"/>
      <c r="D4" s="9"/>
      <c r="E4" s="139"/>
      <c r="F4" s="140">
        <v>4.25</v>
      </c>
      <c r="H4" s="141" t="s">
        <v>331</v>
      </c>
      <c r="I4" s="142">
        <v>2002.5</v>
      </c>
      <c r="J4" s="143"/>
      <c r="K4" s="144"/>
      <c r="L4" s="145">
        <v>79.7</v>
      </c>
      <c r="M4" s="545">
        <v>42.6</v>
      </c>
      <c r="N4" s="545"/>
      <c r="O4" s="545"/>
      <c r="Q4" s="9"/>
      <c r="R4" s="421">
        <v>4.5</v>
      </c>
      <c r="S4" s="418">
        <v>46174</v>
      </c>
    </row>
    <row r="5" spans="2:19" x14ac:dyDescent="0.45">
      <c r="B5" s="138" t="s">
        <v>332</v>
      </c>
      <c r="C5" s="9"/>
      <c r="D5" s="9"/>
      <c r="E5" s="138" t="s">
        <v>333</v>
      </c>
      <c r="F5" s="408">
        <f>F4*2</f>
        <v>8.5</v>
      </c>
      <c r="H5" s="141" t="s">
        <v>334</v>
      </c>
      <c r="I5" s="142">
        <v>2002.5</v>
      </c>
      <c r="J5" s="143" t="s">
        <v>81</v>
      </c>
      <c r="K5" s="144">
        <v>2402.9899999999998</v>
      </c>
      <c r="L5" s="145">
        <v>93</v>
      </c>
      <c r="M5" s="545">
        <v>59.7</v>
      </c>
      <c r="N5" s="545"/>
      <c r="O5" s="545"/>
    </row>
    <row r="6" spans="2:19" x14ac:dyDescent="0.45">
      <c r="B6" s="147" t="s">
        <v>335</v>
      </c>
      <c r="C6" s="148"/>
      <c r="D6" s="148"/>
      <c r="E6" s="147"/>
      <c r="F6" s="409">
        <v>5.5</v>
      </c>
      <c r="H6" s="141" t="s">
        <v>334</v>
      </c>
      <c r="I6" s="142">
        <v>2403</v>
      </c>
      <c r="J6" s="143" t="s">
        <v>81</v>
      </c>
      <c r="K6" s="144">
        <v>2803.49</v>
      </c>
      <c r="L6" s="145">
        <v>106.2</v>
      </c>
      <c r="M6" s="545">
        <v>79.7</v>
      </c>
      <c r="N6" s="545"/>
      <c r="O6" s="545"/>
    </row>
    <row r="7" spans="2:19" x14ac:dyDescent="0.45">
      <c r="B7" s="149" t="s">
        <v>336</v>
      </c>
      <c r="C7" s="150"/>
      <c r="D7" s="150"/>
      <c r="E7" s="149" t="s">
        <v>337</v>
      </c>
      <c r="F7" s="410">
        <v>11</v>
      </c>
      <c r="H7" s="141" t="s">
        <v>334</v>
      </c>
      <c r="I7" s="142">
        <v>2803.5</v>
      </c>
      <c r="J7" s="143" t="s">
        <v>81</v>
      </c>
      <c r="K7" s="144">
        <v>3604.49</v>
      </c>
      <c r="L7" s="145">
        <v>119.4</v>
      </c>
      <c r="M7" s="545">
        <v>99.5</v>
      </c>
      <c r="N7" s="545"/>
      <c r="O7" s="545"/>
    </row>
    <row r="8" spans="2:19" x14ac:dyDescent="0.45">
      <c r="B8" s="151" t="s">
        <v>338</v>
      </c>
      <c r="H8" s="141" t="s">
        <v>334</v>
      </c>
      <c r="I8" s="142">
        <v>3604.5</v>
      </c>
      <c r="J8" s="143" t="s">
        <v>81</v>
      </c>
      <c r="K8" s="144">
        <v>4405.49</v>
      </c>
      <c r="L8" s="145">
        <v>146.4</v>
      </c>
      <c r="M8" s="545">
        <v>126.1</v>
      </c>
      <c r="N8" s="545"/>
      <c r="O8" s="545"/>
    </row>
    <row r="9" spans="2:19" ht="18" x14ac:dyDescent="0.55000000000000004">
      <c r="B9" s="544" t="s">
        <v>339</v>
      </c>
      <c r="C9" s="544"/>
      <c r="D9" s="544"/>
      <c r="E9" s="544"/>
      <c r="F9" s="544"/>
      <c r="H9" s="141" t="s">
        <v>334</v>
      </c>
      <c r="I9" s="142">
        <v>4405.5</v>
      </c>
      <c r="J9" s="143" t="s">
        <v>81</v>
      </c>
      <c r="K9" s="144">
        <v>5206.49</v>
      </c>
      <c r="L9" s="145">
        <v>172.6</v>
      </c>
      <c r="M9" s="545">
        <v>152.4</v>
      </c>
      <c r="N9" s="545"/>
      <c r="O9" s="545"/>
    </row>
    <row r="10" spans="2:19" x14ac:dyDescent="0.45">
      <c r="B10" s="152" t="s">
        <v>340</v>
      </c>
      <c r="C10" s="153"/>
      <c r="D10" s="153"/>
      <c r="E10" s="154"/>
      <c r="F10" s="155"/>
      <c r="H10" s="141" t="s">
        <v>334</v>
      </c>
      <c r="I10" s="142">
        <v>5206.5</v>
      </c>
      <c r="J10" s="143" t="s">
        <v>81</v>
      </c>
      <c r="K10" s="144">
        <v>6007.49</v>
      </c>
      <c r="L10" s="145">
        <v>199.4</v>
      </c>
      <c r="M10" s="545">
        <v>185.7</v>
      </c>
      <c r="N10" s="545"/>
      <c r="O10" s="545"/>
    </row>
    <row r="11" spans="2:19" x14ac:dyDescent="0.45">
      <c r="B11" s="156" t="s">
        <v>341</v>
      </c>
      <c r="C11" s="157"/>
      <c r="D11" s="157"/>
      <c r="E11" s="546">
        <v>7.32</v>
      </c>
      <c r="F11" s="546"/>
      <c r="H11" s="158" t="s">
        <v>342</v>
      </c>
      <c r="I11" s="159">
        <v>6007.5</v>
      </c>
      <c r="J11" s="160"/>
      <c r="K11" s="161"/>
      <c r="L11" s="145">
        <v>225.6</v>
      </c>
      <c r="M11" s="545">
        <v>212.3</v>
      </c>
      <c r="N11" s="545"/>
      <c r="O11" s="545"/>
    </row>
    <row r="13" spans="2:19" ht="18" x14ac:dyDescent="0.55000000000000004">
      <c r="B13" s="544" t="s">
        <v>600</v>
      </c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</row>
    <row r="15" spans="2:19" ht="42.4" customHeight="1" x14ac:dyDescent="0.45"/>
    <row r="16" spans="2:19" x14ac:dyDescent="0.45">
      <c r="P16" s="92"/>
    </row>
    <row r="17" spans="2:16" ht="14.65" customHeight="1" x14ac:dyDescent="0.45">
      <c r="P17" s="92"/>
    </row>
    <row r="18" spans="2:16" x14ac:dyDescent="0.45">
      <c r="O18" s="368"/>
      <c r="P18" s="368"/>
    </row>
    <row r="19" spans="2:16" ht="134.65" customHeight="1" x14ac:dyDescent="0.45"/>
    <row r="20" spans="2:16" ht="48.75" customHeight="1" x14ac:dyDescent="0.45"/>
    <row r="21" spans="2:16" ht="140.65" customHeight="1" x14ac:dyDescent="0.45"/>
    <row r="23" spans="2:16" ht="14.65" customHeight="1" x14ac:dyDescent="0.45"/>
    <row r="26" spans="2:16" ht="28.5" customHeight="1" x14ac:dyDescent="0.45"/>
    <row r="29" spans="2:16" ht="23.25" x14ac:dyDescent="0.7">
      <c r="B29" s="549" t="s">
        <v>596</v>
      </c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</row>
    <row r="30" spans="2:16" ht="21" x14ac:dyDescent="0.65">
      <c r="B30" s="412" t="s">
        <v>597</v>
      </c>
      <c r="C30" s="412"/>
      <c r="D30" s="412"/>
      <c r="E30" s="412"/>
      <c r="F30" s="412"/>
      <c r="G30" s="412"/>
      <c r="H30" s="412"/>
      <c r="I30" s="412"/>
      <c r="J30" s="412"/>
      <c r="K30" s="412"/>
      <c r="L30" s="9"/>
      <c r="M30" s="9"/>
      <c r="N30" s="9"/>
      <c r="O30" s="9"/>
    </row>
    <row r="31" spans="2:16" ht="21" x14ac:dyDescent="0.65">
      <c r="B31" s="412" t="s">
        <v>598</v>
      </c>
      <c r="C31" s="412"/>
      <c r="D31" s="412"/>
      <c r="E31" s="412"/>
      <c r="F31" s="412"/>
      <c r="G31" s="412"/>
      <c r="H31" s="412"/>
      <c r="I31" s="412"/>
      <c r="J31" s="412"/>
      <c r="K31" s="412"/>
      <c r="L31" s="9"/>
      <c r="M31" s="9"/>
      <c r="N31" s="9"/>
      <c r="O31" s="9"/>
    </row>
    <row r="32" spans="2:16" ht="21" x14ac:dyDescent="0.65">
      <c r="B32" s="411"/>
      <c r="C32" s="411"/>
      <c r="D32" s="411"/>
      <c r="E32" s="411"/>
      <c r="F32" s="411"/>
      <c r="G32" s="411"/>
      <c r="H32" s="411"/>
      <c r="I32" s="411"/>
      <c r="J32" s="411"/>
      <c r="K32" s="411"/>
    </row>
    <row r="34" spans="2:14" ht="18" x14ac:dyDescent="0.55000000000000004">
      <c r="B34" s="544" t="s">
        <v>343</v>
      </c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</row>
    <row r="35" spans="2:14" x14ac:dyDescent="0.45">
      <c r="B35" s="151" t="s">
        <v>344</v>
      </c>
    </row>
    <row r="36" spans="2:14" x14ac:dyDescent="0.45">
      <c r="B36" s="547" t="s">
        <v>345</v>
      </c>
      <c r="C36" s="547"/>
      <c r="D36" s="547"/>
      <c r="E36" s="547"/>
      <c r="F36" s="547"/>
      <c r="H36" s="548" t="s">
        <v>346</v>
      </c>
      <c r="I36" s="548"/>
      <c r="J36" s="548"/>
      <c r="K36" s="548"/>
      <c r="L36" s="548"/>
      <c r="M36" s="548"/>
      <c r="N36" s="548"/>
    </row>
    <row r="37" spans="2:14" x14ac:dyDescent="0.45">
      <c r="B37" s="139" t="s">
        <v>347</v>
      </c>
      <c r="C37" s="9"/>
      <c r="D37" s="9"/>
      <c r="E37" s="9"/>
      <c r="F37" s="140"/>
      <c r="H37" s="162" t="s">
        <v>348</v>
      </c>
      <c r="I37" s="148"/>
      <c r="J37" s="148"/>
      <c r="K37" s="148"/>
      <c r="L37" s="148"/>
      <c r="M37" s="148"/>
      <c r="N37" s="163"/>
    </row>
    <row r="38" spans="2:14" x14ac:dyDescent="0.45">
      <c r="B38" s="138" t="s">
        <v>349</v>
      </c>
      <c r="C38" s="9"/>
      <c r="D38" s="9"/>
      <c r="E38" s="9"/>
      <c r="F38" s="146"/>
      <c r="H38" s="147" t="s">
        <v>350</v>
      </c>
      <c r="I38" s="148"/>
      <c r="J38" s="148"/>
      <c r="K38" s="148"/>
      <c r="L38" s="148"/>
      <c r="M38" s="148"/>
      <c r="N38" s="164"/>
    </row>
    <row r="39" spans="2:14" x14ac:dyDescent="0.45">
      <c r="B39" s="138" t="s">
        <v>351</v>
      </c>
      <c r="C39" s="9"/>
      <c r="D39" s="9"/>
      <c r="E39" s="9"/>
      <c r="F39" s="146"/>
      <c r="H39" s="147" t="s">
        <v>352</v>
      </c>
      <c r="I39" s="148"/>
      <c r="J39" s="148"/>
      <c r="K39" s="148"/>
      <c r="L39" s="148"/>
      <c r="M39" s="148"/>
      <c r="N39" s="164"/>
    </row>
    <row r="40" spans="2:14" x14ac:dyDescent="0.45">
      <c r="B40" s="138" t="s">
        <v>353</v>
      </c>
      <c r="C40" s="9"/>
      <c r="D40" s="9"/>
      <c r="E40" s="9"/>
      <c r="F40" s="146"/>
      <c r="H40" s="147" t="s">
        <v>354</v>
      </c>
      <c r="I40" s="148"/>
      <c r="J40" s="148"/>
      <c r="K40" s="148"/>
      <c r="L40" s="148"/>
      <c r="M40" s="148"/>
      <c r="N40" s="164"/>
    </row>
    <row r="41" spans="2:14" x14ac:dyDescent="0.45">
      <c r="B41" s="138" t="s">
        <v>355</v>
      </c>
      <c r="C41" s="9"/>
      <c r="D41" s="9"/>
      <c r="E41" s="9"/>
      <c r="F41" s="146"/>
      <c r="H41" s="147"/>
      <c r="I41" s="148"/>
      <c r="J41" s="148"/>
      <c r="K41" s="148"/>
      <c r="L41" s="148"/>
      <c r="M41" s="148"/>
      <c r="N41" s="164"/>
    </row>
    <row r="42" spans="2:14" x14ac:dyDescent="0.45">
      <c r="B42" s="138"/>
      <c r="C42" s="9"/>
      <c r="D42" s="9"/>
      <c r="E42" s="9"/>
      <c r="F42" s="146"/>
      <c r="H42" s="147" t="s">
        <v>356</v>
      </c>
      <c r="I42" s="148"/>
      <c r="J42" s="148"/>
      <c r="K42" s="148"/>
      <c r="L42" s="148"/>
      <c r="M42" s="148"/>
      <c r="N42" s="164"/>
    </row>
    <row r="43" spans="2:14" x14ac:dyDescent="0.45">
      <c r="B43" s="138"/>
      <c r="C43" s="9"/>
      <c r="D43" s="9"/>
      <c r="E43" s="9"/>
      <c r="F43" s="146"/>
      <c r="H43" s="147" t="s">
        <v>357</v>
      </c>
      <c r="I43" s="148"/>
      <c r="J43" s="148"/>
      <c r="K43" s="148"/>
      <c r="L43" s="148"/>
      <c r="M43" s="148"/>
      <c r="N43" s="164"/>
    </row>
    <row r="44" spans="2:14" x14ac:dyDescent="0.45">
      <c r="B44" s="138"/>
      <c r="C44" s="9"/>
      <c r="D44" s="9"/>
      <c r="E44" s="9"/>
      <c r="F44" s="146"/>
      <c r="H44" s="147" t="s">
        <v>358</v>
      </c>
      <c r="I44" s="148"/>
      <c r="J44" s="148"/>
      <c r="K44" s="148"/>
      <c r="L44" s="148"/>
      <c r="M44" s="148"/>
      <c r="N44" s="164"/>
    </row>
    <row r="45" spans="2:14" x14ac:dyDescent="0.45">
      <c r="B45" s="138"/>
      <c r="C45" s="9"/>
      <c r="D45" s="9"/>
      <c r="E45" s="9"/>
      <c r="F45" s="146"/>
      <c r="H45" s="147"/>
      <c r="I45" s="148"/>
      <c r="J45" s="148"/>
      <c r="K45" s="148"/>
      <c r="L45" s="148"/>
      <c r="M45" s="148"/>
      <c r="N45" s="164"/>
    </row>
    <row r="46" spans="2:14" x14ac:dyDescent="0.45">
      <c r="B46" s="138"/>
      <c r="C46" s="9"/>
      <c r="D46" s="9"/>
      <c r="E46" s="9"/>
      <c r="F46" s="146"/>
      <c r="H46" s="147" t="s">
        <v>359</v>
      </c>
      <c r="I46" s="148"/>
      <c r="J46" s="148"/>
      <c r="K46" s="148"/>
      <c r="L46" s="148"/>
      <c r="M46" s="148"/>
      <c r="N46" s="164"/>
    </row>
    <row r="47" spans="2:14" x14ac:dyDescent="0.45">
      <c r="B47" s="165"/>
      <c r="C47" s="166"/>
      <c r="D47" s="166"/>
      <c r="E47" s="166"/>
      <c r="F47" s="161"/>
      <c r="H47" s="149" t="s">
        <v>360</v>
      </c>
      <c r="I47" s="150"/>
      <c r="J47" s="150"/>
      <c r="K47" s="150"/>
      <c r="L47" s="150"/>
      <c r="M47" s="150"/>
      <c r="N47" s="167"/>
    </row>
    <row r="49" spans="2:14" ht="18" x14ac:dyDescent="0.55000000000000004">
      <c r="B49" s="544" t="s">
        <v>361</v>
      </c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</row>
    <row r="50" spans="2:14" x14ac:dyDescent="0.45">
      <c r="B50" s="168" t="s">
        <v>362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70"/>
    </row>
    <row r="51" spans="2:14" x14ac:dyDescent="0.45">
      <c r="B51" s="171" t="s">
        <v>363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72"/>
    </row>
    <row r="52" spans="2:14" x14ac:dyDescent="0.45">
      <c r="B52" s="173" t="s">
        <v>364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5"/>
    </row>
  </sheetData>
  <mergeCells count="19">
    <mergeCell ref="M6:O6"/>
    <mergeCell ref="B2:F2"/>
    <mergeCell ref="H2:O2"/>
    <mergeCell ref="H3:K3"/>
    <mergeCell ref="M4:O4"/>
    <mergeCell ref="M5:O5"/>
    <mergeCell ref="B49:N49"/>
    <mergeCell ref="M7:O7"/>
    <mergeCell ref="M8:O8"/>
    <mergeCell ref="B9:F9"/>
    <mergeCell ref="M9:O9"/>
    <mergeCell ref="M10:O10"/>
    <mergeCell ref="E11:F11"/>
    <mergeCell ref="M11:O11"/>
    <mergeCell ref="B13:O13"/>
    <mergeCell ref="B34:N34"/>
    <mergeCell ref="B36:F36"/>
    <mergeCell ref="H36:N36"/>
    <mergeCell ref="B29:O29"/>
  </mergeCells>
  <dataValidations count="1">
    <dataValidation type="list" allowBlank="1" showInputMessage="1" showErrorMessage="1" sqref="F4" xr:uid="{9B9E10F7-8C9C-42A3-A737-AFED5EF30CAC}">
      <formula1>$R$3:$R$4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91B-43DC-44F8-976A-E0CE4C0244A7}">
  <dimension ref="B2:N17"/>
  <sheetViews>
    <sheetView workbookViewId="0">
      <selection activeCell="G5" sqref="G5"/>
    </sheetView>
  </sheetViews>
  <sheetFormatPr baseColWidth="10" defaultRowHeight="14.25" x14ac:dyDescent="0.45"/>
  <cols>
    <col min="1" max="1" width="4.73046875" customWidth="1"/>
  </cols>
  <sheetData>
    <row r="2" spans="2:14" x14ac:dyDescent="0.45">
      <c r="B2" s="556" t="s">
        <v>365</v>
      </c>
      <c r="C2" s="556"/>
      <c r="D2" s="556"/>
      <c r="E2" s="556"/>
      <c r="F2" s="556"/>
      <c r="G2" s="556"/>
      <c r="I2" s="553" t="s">
        <v>580</v>
      </c>
      <c r="J2" s="553"/>
      <c r="K2" s="553"/>
      <c r="L2" s="553"/>
      <c r="M2" s="553"/>
      <c r="N2" s="553"/>
    </row>
    <row r="3" spans="2:14" x14ac:dyDescent="0.45">
      <c r="B3" s="176" t="s">
        <v>366</v>
      </c>
      <c r="C3" s="177"/>
      <c r="D3" s="177"/>
      <c r="E3" s="177"/>
      <c r="F3" s="178"/>
      <c r="G3" s="405">
        <v>21.4</v>
      </c>
      <c r="I3" s="554" t="s">
        <v>581</v>
      </c>
      <c r="J3" s="554"/>
      <c r="K3" s="554"/>
      <c r="L3" s="554"/>
      <c r="M3" s="554"/>
      <c r="N3" s="554"/>
    </row>
    <row r="4" spans="2:14" x14ac:dyDescent="0.45">
      <c r="B4" s="176" t="s">
        <v>367</v>
      </c>
      <c r="C4" s="177"/>
      <c r="D4" s="177"/>
      <c r="E4" s="177"/>
      <c r="F4" s="178"/>
      <c r="G4" s="95">
        <v>10.4</v>
      </c>
      <c r="H4" s="92"/>
      <c r="I4" s="498" t="s">
        <v>582</v>
      </c>
      <c r="J4" s="498"/>
      <c r="K4" s="498"/>
      <c r="L4" s="551" t="s">
        <v>584</v>
      </c>
      <c r="M4" s="551"/>
      <c r="N4" s="551"/>
    </row>
    <row r="5" spans="2:14" x14ac:dyDescent="0.45">
      <c r="B5" s="173" t="s">
        <v>368</v>
      </c>
      <c r="C5" s="174"/>
      <c r="D5" s="174"/>
      <c r="E5" s="174"/>
      <c r="F5" s="174"/>
      <c r="G5" s="95">
        <v>7.5</v>
      </c>
      <c r="H5" s="92"/>
      <c r="I5" s="498" t="s">
        <v>583</v>
      </c>
      <c r="J5" s="498"/>
      <c r="K5" s="498"/>
      <c r="L5" s="551" t="s">
        <v>585</v>
      </c>
      <c r="M5" s="551"/>
      <c r="N5" s="551"/>
    </row>
    <row r="6" spans="2:14" x14ac:dyDescent="0.45">
      <c r="I6" s="489" t="s">
        <v>586</v>
      </c>
      <c r="J6" s="489"/>
      <c r="K6" s="489"/>
      <c r="L6" s="489"/>
      <c r="M6" s="489"/>
      <c r="N6" s="489"/>
    </row>
    <row r="7" spans="2:14" x14ac:dyDescent="0.45">
      <c r="B7" s="557" t="s">
        <v>369</v>
      </c>
      <c r="C7" s="557"/>
      <c r="D7" s="557"/>
      <c r="E7" s="557"/>
      <c r="F7" s="557"/>
      <c r="G7" s="557"/>
      <c r="I7" s="489" t="s">
        <v>582</v>
      </c>
      <c r="J7" s="489"/>
      <c r="K7" s="489"/>
      <c r="L7" s="551" t="s">
        <v>587</v>
      </c>
      <c r="M7" s="551"/>
      <c r="N7" s="551"/>
    </row>
    <row r="8" spans="2:14" ht="65.650000000000006" x14ac:dyDescent="0.45">
      <c r="B8" s="558" t="s">
        <v>370</v>
      </c>
      <c r="C8" s="558"/>
      <c r="D8" s="558"/>
      <c r="E8" s="179" t="s">
        <v>371</v>
      </c>
      <c r="F8" s="180" t="s">
        <v>372</v>
      </c>
      <c r="G8" s="181" t="s">
        <v>373</v>
      </c>
      <c r="I8" s="489" t="s">
        <v>583</v>
      </c>
      <c r="J8" s="489"/>
      <c r="K8" s="489"/>
      <c r="L8" s="551" t="s">
        <v>588</v>
      </c>
      <c r="M8" s="551"/>
      <c r="N8" s="551"/>
    </row>
    <row r="9" spans="2:14" x14ac:dyDescent="0.45">
      <c r="B9" s="546" t="s">
        <v>374</v>
      </c>
      <c r="C9" s="546"/>
      <c r="D9" s="546"/>
      <c r="E9" s="97">
        <v>21.4</v>
      </c>
      <c r="F9" s="97">
        <v>76.599999999999994</v>
      </c>
      <c r="G9" s="97">
        <v>56.8</v>
      </c>
    </row>
    <row r="10" spans="2:14" x14ac:dyDescent="0.45">
      <c r="B10" s="546" t="s">
        <v>375</v>
      </c>
      <c r="C10" s="546"/>
      <c r="D10" s="546"/>
      <c r="E10" s="97">
        <v>18.2</v>
      </c>
      <c r="F10" s="97">
        <v>65.099999999999994</v>
      </c>
      <c r="G10" s="97">
        <v>48.3</v>
      </c>
      <c r="I10" s="552" t="s">
        <v>589</v>
      </c>
      <c r="J10" s="552"/>
      <c r="K10" s="552"/>
      <c r="L10" s="552"/>
      <c r="M10" s="552"/>
      <c r="N10" s="552"/>
    </row>
    <row r="11" spans="2:14" x14ac:dyDescent="0.45">
      <c r="B11" s="546" t="s">
        <v>376</v>
      </c>
      <c r="C11" s="546"/>
      <c r="D11" s="546"/>
      <c r="E11" s="97">
        <v>15</v>
      </c>
      <c r="F11" s="97">
        <v>53.6</v>
      </c>
      <c r="G11" s="97">
        <v>39.799999999999997</v>
      </c>
      <c r="I11" s="498" t="s">
        <v>590</v>
      </c>
      <c r="J11" s="498"/>
      <c r="K11" s="498"/>
      <c r="L11" s="498"/>
      <c r="M11" s="508" t="s">
        <v>591</v>
      </c>
      <c r="N11" s="508"/>
    </row>
    <row r="13" spans="2:14" x14ac:dyDescent="0.45">
      <c r="B13" s="555" t="s">
        <v>377</v>
      </c>
      <c r="C13" s="555"/>
      <c r="D13" s="555"/>
      <c r="E13" s="555"/>
      <c r="F13" s="555"/>
      <c r="G13" s="555"/>
    </row>
    <row r="14" spans="2:14" x14ac:dyDescent="0.45">
      <c r="B14" s="182" t="s">
        <v>378</v>
      </c>
      <c r="C14" s="183"/>
      <c r="D14" s="183"/>
      <c r="E14" s="183"/>
      <c r="F14" s="183"/>
      <c r="G14" s="184"/>
    </row>
    <row r="15" spans="2:14" x14ac:dyDescent="0.45">
      <c r="B15" s="185" t="s">
        <v>379</v>
      </c>
      <c r="C15" s="186"/>
      <c r="D15" s="186"/>
      <c r="E15" s="186"/>
      <c r="F15" s="186"/>
      <c r="G15" s="187"/>
    </row>
    <row r="16" spans="2:14" x14ac:dyDescent="0.45">
      <c r="B16" s="185" t="s">
        <v>380</v>
      </c>
      <c r="C16" s="186"/>
      <c r="D16" s="186"/>
      <c r="E16" s="186"/>
      <c r="F16" s="186"/>
      <c r="G16" s="187"/>
    </row>
    <row r="17" spans="2:7" x14ac:dyDescent="0.45">
      <c r="B17" s="188" t="s">
        <v>381</v>
      </c>
      <c r="C17" s="189"/>
      <c r="D17" s="189"/>
      <c r="E17" s="189"/>
      <c r="F17" s="189"/>
      <c r="G17" s="190"/>
    </row>
  </sheetData>
  <mergeCells count="21">
    <mergeCell ref="B13:G13"/>
    <mergeCell ref="B2:G2"/>
    <mergeCell ref="B7:G7"/>
    <mergeCell ref="B8:D8"/>
    <mergeCell ref="B9:D9"/>
    <mergeCell ref="B10:D10"/>
    <mergeCell ref="B11:D11"/>
    <mergeCell ref="I2:N2"/>
    <mergeCell ref="I3:N3"/>
    <mergeCell ref="I4:K4"/>
    <mergeCell ref="I5:K5"/>
    <mergeCell ref="I6:N6"/>
    <mergeCell ref="L4:N4"/>
    <mergeCell ref="L5:N5"/>
    <mergeCell ref="I11:L11"/>
    <mergeCell ref="M11:N11"/>
    <mergeCell ref="I7:K7"/>
    <mergeCell ref="I8:K8"/>
    <mergeCell ref="L7:N7"/>
    <mergeCell ref="L8:N8"/>
    <mergeCell ref="I10:N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1FC-1C54-46CA-A9DC-F3A40AB4E722}">
  <dimension ref="B2:Y102"/>
  <sheetViews>
    <sheetView topLeftCell="A25" zoomScale="80" zoomScaleNormal="80" workbookViewId="0">
      <selection activeCell="P30" sqref="P30"/>
    </sheetView>
  </sheetViews>
  <sheetFormatPr baseColWidth="10" defaultRowHeight="14.25" x14ac:dyDescent="0.45"/>
  <cols>
    <col min="1" max="1" width="4.1328125" customWidth="1"/>
    <col min="2" max="2" width="8.73046875" customWidth="1"/>
    <col min="3" max="3" width="19.6640625" customWidth="1"/>
    <col min="11" max="11" width="3" customWidth="1"/>
    <col min="12" max="12" width="12.6640625" customWidth="1"/>
    <col min="13" max="13" width="12.33203125" customWidth="1"/>
    <col min="15" max="15" width="13.796875" customWidth="1"/>
    <col min="16" max="16" width="12.73046875" customWidth="1"/>
    <col min="17" max="17" width="13.6640625" customWidth="1"/>
    <col min="18" max="18" width="13.33203125" customWidth="1"/>
    <col min="19" max="19" width="13.06640625" customWidth="1"/>
  </cols>
  <sheetData>
    <row r="2" spans="2:25" ht="23.25" customHeight="1" x14ac:dyDescent="0.75">
      <c r="B2" s="456" t="s">
        <v>72</v>
      </c>
      <c r="C2" s="457"/>
      <c r="D2" s="457"/>
      <c r="E2" s="457"/>
      <c r="F2" s="457"/>
      <c r="G2" s="457"/>
      <c r="H2" s="457"/>
      <c r="I2" s="458"/>
      <c r="L2" s="70" t="s">
        <v>184</v>
      </c>
      <c r="M2" s="289">
        <f>IF(M5="janvier",R8,IF(M5="février",R9,IF(M5="mars",R10,IF(M5="avril",R11,IF(M5="mai",R12,IF(M5="juin",R13,IF(M5="juillet",R14,IF(M5="août",R15,IF(M5="septembre",R16,IF(M5="octobre",R17,IF(M5="novembre",R18,R19)))))))))))</f>
        <v>0</v>
      </c>
    </row>
    <row r="3" spans="2:25" ht="27.75" customHeight="1" x14ac:dyDescent="0.45">
      <c r="B3" s="471" t="s">
        <v>73</v>
      </c>
      <c r="C3" s="471"/>
      <c r="D3" s="471"/>
      <c r="E3" s="471"/>
      <c r="F3" s="472" t="s">
        <v>74</v>
      </c>
      <c r="G3" s="473"/>
      <c r="H3" s="473"/>
      <c r="I3" s="474"/>
      <c r="L3" s="70" t="s">
        <v>120</v>
      </c>
      <c r="M3" s="289">
        <f>IF(M5="janvier",W8,IF(M5="février",W9,IF(M5="mars",W10,IF(M5="avril",W11,IF(M5="mai",W12,IF(M5="juin",W13,IF(M5="juillet",W14,IF(M5="août",W15,IF(M5="septembre",W16,IF(M5="octobre",W17,IF(M5="novembre",W18,W19)))))))))))</f>
        <v>0</v>
      </c>
    </row>
    <row r="4" spans="2:25" ht="15.75" x14ac:dyDescent="0.5">
      <c r="B4" s="468">
        <f>COTISATIONS!D5</f>
        <v>0</v>
      </c>
      <c r="C4" s="469"/>
      <c r="D4" s="469"/>
      <c r="E4" s="470"/>
      <c r="F4" s="465">
        <f>COTISATIONS!G5</f>
        <v>0</v>
      </c>
      <c r="G4" s="466"/>
      <c r="H4" s="466"/>
      <c r="I4" s="467"/>
      <c r="L4" s="70" t="s">
        <v>121</v>
      </c>
      <c r="M4" s="71">
        <f>COTISATIONS!F58</f>
        <v>4005</v>
      </c>
    </row>
    <row r="5" spans="2:25" ht="15.75" x14ac:dyDescent="0.5">
      <c r="B5" s="468">
        <f>COTISATIONS!D6</f>
        <v>0</v>
      </c>
      <c r="C5" s="469"/>
      <c r="D5" s="469"/>
      <c r="E5" s="470"/>
      <c r="F5" s="465">
        <f>COTISATIONS!G6</f>
        <v>0</v>
      </c>
      <c r="G5" s="466"/>
      <c r="H5" s="466"/>
      <c r="I5" s="467"/>
      <c r="L5" s="70" t="s">
        <v>15</v>
      </c>
      <c r="M5" s="70" t="str">
        <f>COTISATIONS!D11</f>
        <v>janvier</v>
      </c>
    </row>
    <row r="6" spans="2:25" ht="15.75" x14ac:dyDescent="0.5">
      <c r="B6" s="459">
        <f>COTISATIONS!D7</f>
        <v>0</v>
      </c>
      <c r="C6" s="460"/>
      <c r="D6" s="460"/>
      <c r="E6" s="461"/>
      <c r="F6" s="465">
        <f>COTISATIONS!I5</f>
        <v>0</v>
      </c>
      <c r="G6" s="466"/>
      <c r="H6" s="466"/>
      <c r="I6" s="467"/>
    </row>
    <row r="7" spans="2:25" ht="63.4" customHeight="1" x14ac:dyDescent="0.45">
      <c r="B7" s="54" t="s">
        <v>75</v>
      </c>
      <c r="C7" s="69">
        <f>COTISATIONS!D8</f>
        <v>0</v>
      </c>
      <c r="D7" s="37"/>
      <c r="E7" s="45"/>
      <c r="F7" s="48">
        <f>COTISATIONS!I6</f>
        <v>0</v>
      </c>
      <c r="G7" s="52"/>
      <c r="H7" s="53"/>
      <c r="I7" s="53"/>
      <c r="M7" s="81" t="s">
        <v>131</v>
      </c>
      <c r="N7" s="81" t="s">
        <v>132</v>
      </c>
      <c r="O7" s="81" t="s">
        <v>133</v>
      </c>
      <c r="P7" s="81" t="s">
        <v>134</v>
      </c>
      <c r="Q7" s="81" t="s">
        <v>135</v>
      </c>
      <c r="R7" s="81" t="s">
        <v>48</v>
      </c>
      <c r="S7" s="81" t="s">
        <v>136</v>
      </c>
      <c r="T7" s="81" t="s">
        <v>572</v>
      </c>
      <c r="U7" s="81" t="s">
        <v>573</v>
      </c>
      <c r="V7" s="81" t="s">
        <v>137</v>
      </c>
      <c r="W7" s="81" t="s">
        <v>574</v>
      </c>
      <c r="X7" s="81" t="s">
        <v>138</v>
      </c>
      <c r="Y7" s="81" t="s">
        <v>139</v>
      </c>
    </row>
    <row r="8" spans="2:25" x14ac:dyDescent="0.45">
      <c r="B8" s="54" t="s">
        <v>76</v>
      </c>
      <c r="C8" s="37">
        <f>COTISATIONS!D9</f>
        <v>0</v>
      </c>
      <c r="D8" s="37"/>
      <c r="E8" s="45"/>
      <c r="F8" s="48" t="s">
        <v>77</v>
      </c>
      <c r="G8" s="52"/>
      <c r="H8" s="52"/>
      <c r="I8" s="53"/>
      <c r="M8" s="60" t="s">
        <v>140</v>
      </c>
      <c r="N8" s="85">
        <f>I29</f>
        <v>0</v>
      </c>
      <c r="O8" s="82">
        <f>N8</f>
        <v>0</v>
      </c>
      <c r="P8" s="82">
        <f>$M$4</f>
        <v>4005</v>
      </c>
      <c r="Q8" s="82">
        <f>P8</f>
        <v>4005</v>
      </c>
      <c r="R8" s="83">
        <f>IF(O8&lt;Q8,O8,Q8)</f>
        <v>0</v>
      </c>
      <c r="S8" s="65">
        <f>IF(O8&gt;P8,P8,N8)</f>
        <v>0</v>
      </c>
      <c r="T8" s="82">
        <f>IF(S8=Q8,O8-R8,0)</f>
        <v>0</v>
      </c>
      <c r="U8" s="82">
        <f>T8</f>
        <v>0</v>
      </c>
      <c r="V8" s="82">
        <f>8*M4</f>
        <v>32040</v>
      </c>
      <c r="W8" s="84">
        <f>T8-Y8</f>
        <v>0</v>
      </c>
      <c r="X8" s="82">
        <f>IF(O8&gt;V8,O8-V8,0)</f>
        <v>0</v>
      </c>
      <c r="Y8" s="82">
        <f>X8</f>
        <v>0</v>
      </c>
    </row>
    <row r="9" spans="2:25" x14ac:dyDescent="0.45">
      <c r="B9" s="55"/>
      <c r="C9" s="37"/>
      <c r="D9" s="56"/>
      <c r="E9" s="57"/>
      <c r="F9" s="54"/>
      <c r="G9" s="37"/>
      <c r="H9" s="37"/>
      <c r="I9" s="45"/>
      <c r="M9" s="60" t="s">
        <v>141</v>
      </c>
      <c r="N9" s="85"/>
      <c r="O9" s="82">
        <f>O8+N9</f>
        <v>0</v>
      </c>
      <c r="P9" s="82">
        <f t="shared" ref="P9:P10" si="0">$M$4</f>
        <v>4005</v>
      </c>
      <c r="Q9" s="82">
        <f>Q8+P9</f>
        <v>8010</v>
      </c>
      <c r="R9" s="83">
        <f>IF(O9&lt;Q9,O9-S8,IF(O9&gt;Q9,Q9-S8,N9))</f>
        <v>0</v>
      </c>
      <c r="S9" s="65">
        <f>S8+R9</f>
        <v>0</v>
      </c>
      <c r="T9" s="82">
        <f>IF(S9=Q9,(N9-R9),IF(S9&lt;Q9,-U8,0))</f>
        <v>0</v>
      </c>
      <c r="U9" s="82">
        <f>U8+T9</f>
        <v>0</v>
      </c>
      <c r="V9" s="82">
        <f>(8*$M$4)+V8</f>
        <v>64080</v>
      </c>
      <c r="W9" s="84">
        <f t="shared" ref="W9:W19" si="1">T9-Y9</f>
        <v>0</v>
      </c>
      <c r="X9" s="82">
        <f t="shared" ref="X9:X19" si="2">IF(O9&gt;V9,O9-V9,0)</f>
        <v>0</v>
      </c>
      <c r="Y9" s="82">
        <f>IF(X9=0,-X8,X9-X8)</f>
        <v>0</v>
      </c>
    </row>
    <row r="10" spans="2:25" x14ac:dyDescent="0.45">
      <c r="B10" s="48" t="s">
        <v>78</v>
      </c>
      <c r="C10" s="52"/>
      <c r="D10" s="52">
        <f>COTISATIONS!D10</f>
        <v>0</v>
      </c>
      <c r="E10" s="53"/>
      <c r="F10" s="55">
        <f>COTISATIONS!G7</f>
        <v>0</v>
      </c>
      <c r="G10" s="56"/>
      <c r="H10" s="56"/>
      <c r="I10" s="57"/>
      <c r="M10" s="60" t="s">
        <v>142</v>
      </c>
      <c r="N10" s="85"/>
      <c r="O10" s="82">
        <f t="shared" ref="O10:O19" si="3">O9+N10</f>
        <v>0</v>
      </c>
      <c r="P10" s="82">
        <f t="shared" si="0"/>
        <v>4005</v>
      </c>
      <c r="Q10" s="82">
        <f t="shared" ref="Q10:Q19" si="4">Q9+P10</f>
        <v>12015</v>
      </c>
      <c r="R10" s="83">
        <f>IF(O10&lt;Q10,O10-S9,IF(O10&gt;Q10,Q10-S9,N10))</f>
        <v>0</v>
      </c>
      <c r="S10" s="65">
        <f t="shared" ref="S10:S19" si="5">S9+R10</f>
        <v>0</v>
      </c>
      <c r="T10" s="82">
        <f t="shared" ref="T10:T19" si="6">IF(S10=Q10,(N10-R10),IF(S10&lt;Q10,-U9,0))</f>
        <v>0</v>
      </c>
      <c r="U10" s="82">
        <f t="shared" ref="U10:U19" si="7">U9+T10</f>
        <v>0</v>
      </c>
      <c r="V10" s="82">
        <f t="shared" ref="V10:V19" si="8">(8*$M$4)+V9</f>
        <v>96120</v>
      </c>
      <c r="W10" s="84">
        <f t="shared" si="1"/>
        <v>0</v>
      </c>
      <c r="X10" s="82">
        <f t="shared" si="2"/>
        <v>0</v>
      </c>
      <c r="Y10" s="82">
        <f>IF(X10=0,-X9,X10-Y9-Y8)</f>
        <v>0</v>
      </c>
    </row>
    <row r="11" spans="2:25" x14ac:dyDescent="0.45">
      <c r="B11" s="55" t="s">
        <v>79</v>
      </c>
      <c r="C11" s="56"/>
      <c r="D11" s="56" t="str">
        <f>COTISATIONS!D11</f>
        <v>janvier</v>
      </c>
      <c r="E11" s="57"/>
      <c r="F11" s="48"/>
      <c r="G11" s="52"/>
      <c r="H11" s="52"/>
      <c r="I11" s="53"/>
      <c r="M11" s="60" t="s">
        <v>143</v>
      </c>
      <c r="N11" s="85"/>
      <c r="O11" s="82">
        <f t="shared" si="3"/>
        <v>0</v>
      </c>
      <c r="P11" s="82">
        <f t="shared" ref="P11:P19" si="9">$M$4</f>
        <v>4005</v>
      </c>
      <c r="Q11" s="82">
        <f t="shared" si="4"/>
        <v>16020</v>
      </c>
      <c r="R11" s="83">
        <f t="shared" ref="R11:R19" si="10">IF(O11&lt;Q11,O11-S10,IF(O11&gt;Q11,Q11-S10,N11))</f>
        <v>0</v>
      </c>
      <c r="S11" s="65">
        <f t="shared" si="5"/>
        <v>0</v>
      </c>
      <c r="T11" s="82">
        <f t="shared" si="6"/>
        <v>0</v>
      </c>
      <c r="U11" s="82">
        <f t="shared" si="7"/>
        <v>0</v>
      </c>
      <c r="V11" s="82">
        <f t="shared" si="8"/>
        <v>128160</v>
      </c>
      <c r="W11" s="84">
        <f t="shared" si="1"/>
        <v>0</v>
      </c>
      <c r="X11" s="82">
        <f t="shared" si="2"/>
        <v>0</v>
      </c>
      <c r="Y11" s="82">
        <f>IF(X11=0,-X10,X11-Y10-Y9-Y8)</f>
        <v>0</v>
      </c>
    </row>
    <row r="12" spans="2:25" x14ac:dyDescent="0.45">
      <c r="B12" s="48" t="s">
        <v>80</v>
      </c>
      <c r="C12" s="49"/>
      <c r="D12" s="49"/>
      <c r="E12" s="49"/>
      <c r="F12" s="49"/>
      <c r="G12" s="52">
        <v>151.66999999999999</v>
      </c>
      <c r="H12" s="294">
        <f>I12/G12</f>
        <v>0</v>
      </c>
      <c r="I12" s="85"/>
      <c r="J12" s="72" t="s">
        <v>123</v>
      </c>
      <c r="M12" s="60" t="s">
        <v>144</v>
      </c>
      <c r="N12" s="85"/>
      <c r="O12" s="82">
        <f t="shared" si="3"/>
        <v>0</v>
      </c>
      <c r="P12" s="82">
        <f t="shared" si="9"/>
        <v>4005</v>
      </c>
      <c r="Q12" s="82">
        <f t="shared" si="4"/>
        <v>20025</v>
      </c>
      <c r="R12" s="83">
        <f t="shared" si="10"/>
        <v>0</v>
      </c>
      <c r="S12" s="65">
        <f t="shared" si="5"/>
        <v>0</v>
      </c>
      <c r="T12" s="82">
        <f t="shared" si="6"/>
        <v>0</v>
      </c>
      <c r="U12" s="82">
        <f t="shared" si="7"/>
        <v>0</v>
      </c>
      <c r="V12" s="82">
        <f t="shared" si="8"/>
        <v>160200</v>
      </c>
      <c r="W12" s="84">
        <f t="shared" si="1"/>
        <v>0</v>
      </c>
      <c r="X12" s="82">
        <f t="shared" si="2"/>
        <v>0</v>
      </c>
      <c r="Y12" s="82">
        <f>IF(X12=0,-X11,X12-Y11-Y10-Y9-Y8)</f>
        <v>0</v>
      </c>
    </row>
    <row r="13" spans="2:25" x14ac:dyDescent="0.45">
      <c r="B13" s="295" t="str">
        <f>IF($G$12&lt;151.67,"Heures complémentaires à 10%","Heures supplémentaires à 10 %")</f>
        <v>Heures supplémentaires à 10 %</v>
      </c>
      <c r="C13" s="49"/>
      <c r="D13" s="49"/>
      <c r="E13" s="49"/>
      <c r="F13" s="49"/>
      <c r="G13" s="294"/>
      <c r="H13" s="294">
        <f>H12*1.1</f>
        <v>0</v>
      </c>
      <c r="I13" s="65">
        <f>G13*H13</f>
        <v>0</v>
      </c>
      <c r="J13" s="203">
        <f>I13+I14+I15</f>
        <v>0</v>
      </c>
      <c r="M13" s="60" t="s">
        <v>145</v>
      </c>
      <c r="N13" s="85"/>
      <c r="O13" s="82">
        <f t="shared" si="3"/>
        <v>0</v>
      </c>
      <c r="P13" s="82">
        <f t="shared" si="9"/>
        <v>4005</v>
      </c>
      <c r="Q13" s="82">
        <f t="shared" si="4"/>
        <v>24030</v>
      </c>
      <c r="R13" s="83">
        <f t="shared" si="10"/>
        <v>0</v>
      </c>
      <c r="S13" s="65">
        <f t="shared" si="5"/>
        <v>0</v>
      </c>
      <c r="T13" s="82">
        <f t="shared" si="6"/>
        <v>0</v>
      </c>
      <c r="U13" s="82">
        <f t="shared" si="7"/>
        <v>0</v>
      </c>
      <c r="V13" s="82">
        <f t="shared" si="8"/>
        <v>192240</v>
      </c>
      <c r="W13" s="84">
        <f t="shared" si="1"/>
        <v>0</v>
      </c>
      <c r="X13" s="82">
        <f t="shared" si="2"/>
        <v>0</v>
      </c>
      <c r="Y13" s="82">
        <f>IF(X13=0,-X12,X13-Y12-Y11-Y10-Y9-Y8)</f>
        <v>0</v>
      </c>
    </row>
    <row r="14" spans="2:25" x14ac:dyDescent="0.45">
      <c r="B14" s="295" t="str">
        <f>IF($G$12&lt;151.67,"Heures complémentaires à 25%","Heures supplémentaires à 25 %")</f>
        <v>Heures supplémentaires à 25 %</v>
      </c>
      <c r="C14" s="49"/>
      <c r="D14" s="49"/>
      <c r="E14" s="296"/>
      <c r="F14" s="49"/>
      <c r="G14" s="294"/>
      <c r="H14" s="294">
        <f>H12*1.25</f>
        <v>0</v>
      </c>
      <c r="I14" s="65">
        <f>G14*H14</f>
        <v>0</v>
      </c>
      <c r="M14" s="60" t="s">
        <v>146</v>
      </c>
      <c r="N14" s="85"/>
      <c r="O14" s="82">
        <f t="shared" si="3"/>
        <v>0</v>
      </c>
      <c r="P14" s="82">
        <f t="shared" si="9"/>
        <v>4005</v>
      </c>
      <c r="Q14" s="82">
        <f t="shared" si="4"/>
        <v>28035</v>
      </c>
      <c r="R14" s="83">
        <f t="shared" si="10"/>
        <v>0</v>
      </c>
      <c r="S14" s="65">
        <f t="shared" si="5"/>
        <v>0</v>
      </c>
      <c r="T14" s="82">
        <f t="shared" si="6"/>
        <v>0</v>
      </c>
      <c r="U14" s="82">
        <f t="shared" si="7"/>
        <v>0</v>
      </c>
      <c r="V14" s="82">
        <f t="shared" si="8"/>
        <v>224280</v>
      </c>
      <c r="W14" s="84">
        <f t="shared" si="1"/>
        <v>0</v>
      </c>
      <c r="X14" s="82">
        <f t="shared" si="2"/>
        <v>0</v>
      </c>
      <c r="Y14" s="82">
        <f>IF(X14=0,-X13,X14-Y13-Y12-Y11-Y10-Y9-Y8)</f>
        <v>0</v>
      </c>
    </row>
    <row r="15" spans="2:25" x14ac:dyDescent="0.45">
      <c r="B15" s="295" t="s">
        <v>82</v>
      </c>
      <c r="C15" s="49"/>
      <c r="D15" s="49"/>
      <c r="E15" s="49"/>
      <c r="F15" s="49"/>
      <c r="G15" s="294"/>
      <c r="H15" s="294">
        <f>H12*1.5</f>
        <v>0</v>
      </c>
      <c r="I15" s="65">
        <f>G15*H15</f>
        <v>0</v>
      </c>
      <c r="M15" s="60" t="s">
        <v>147</v>
      </c>
      <c r="N15" s="85"/>
      <c r="O15" s="82">
        <f t="shared" si="3"/>
        <v>0</v>
      </c>
      <c r="P15" s="82">
        <f t="shared" si="9"/>
        <v>4005</v>
      </c>
      <c r="Q15" s="82">
        <f t="shared" si="4"/>
        <v>32040</v>
      </c>
      <c r="R15" s="83">
        <f t="shared" si="10"/>
        <v>0</v>
      </c>
      <c r="S15" s="65">
        <f t="shared" si="5"/>
        <v>0</v>
      </c>
      <c r="T15" s="82">
        <f t="shared" si="6"/>
        <v>0</v>
      </c>
      <c r="U15" s="82">
        <f t="shared" si="7"/>
        <v>0</v>
      </c>
      <c r="V15" s="82">
        <f t="shared" si="8"/>
        <v>256320</v>
      </c>
      <c r="W15" s="84">
        <f t="shared" si="1"/>
        <v>0</v>
      </c>
      <c r="X15" s="82">
        <f t="shared" si="2"/>
        <v>0</v>
      </c>
      <c r="Y15" s="82">
        <f>IF(X15=0,-X14,X15-Y14-Y13-Y12-Y11-Y10-Y9-Y8)</f>
        <v>0</v>
      </c>
    </row>
    <row r="16" spans="2:25" x14ac:dyDescent="0.45">
      <c r="B16" s="284"/>
      <c r="C16" s="49"/>
      <c r="D16" s="49"/>
      <c r="E16" s="49"/>
      <c r="F16" s="49"/>
      <c r="G16" s="49"/>
      <c r="H16" s="49"/>
      <c r="I16" s="65">
        <f>G16*H16</f>
        <v>0</v>
      </c>
      <c r="M16" s="14" t="s">
        <v>148</v>
      </c>
      <c r="N16" s="85"/>
      <c r="O16" s="82">
        <f t="shared" si="3"/>
        <v>0</v>
      </c>
      <c r="P16" s="82">
        <f t="shared" si="9"/>
        <v>4005</v>
      </c>
      <c r="Q16" s="82">
        <f t="shared" si="4"/>
        <v>36045</v>
      </c>
      <c r="R16" s="83">
        <f t="shared" si="10"/>
        <v>0</v>
      </c>
      <c r="S16" s="65">
        <f t="shared" si="5"/>
        <v>0</v>
      </c>
      <c r="T16" s="82">
        <f t="shared" si="6"/>
        <v>0</v>
      </c>
      <c r="U16" s="82">
        <f t="shared" si="7"/>
        <v>0</v>
      </c>
      <c r="V16" s="82">
        <f t="shared" si="8"/>
        <v>288360</v>
      </c>
      <c r="W16" s="84">
        <f t="shared" si="1"/>
        <v>0</v>
      </c>
      <c r="X16" s="82">
        <f t="shared" si="2"/>
        <v>0</v>
      </c>
      <c r="Y16" s="82">
        <f>IF(X16=0,-X15,X16-Y15-Y14-Y13-Y12-Y11-Y10-Y9-Y8)</f>
        <v>0</v>
      </c>
    </row>
    <row r="17" spans="2:25" x14ac:dyDescent="0.45">
      <c r="B17" s="251"/>
      <c r="C17" s="252"/>
      <c r="D17" s="253"/>
      <c r="E17" s="254"/>
      <c r="F17" s="254"/>
      <c r="G17" s="333"/>
      <c r="H17" s="252"/>
      <c r="I17" s="257"/>
      <c r="M17" s="60" t="s">
        <v>149</v>
      </c>
      <c r="N17" s="85"/>
      <c r="O17" s="82">
        <f t="shared" si="3"/>
        <v>0</v>
      </c>
      <c r="P17" s="82">
        <f t="shared" si="9"/>
        <v>4005</v>
      </c>
      <c r="Q17" s="82">
        <f t="shared" si="4"/>
        <v>40050</v>
      </c>
      <c r="R17" s="83">
        <f t="shared" si="10"/>
        <v>0</v>
      </c>
      <c r="S17" s="65">
        <f t="shared" si="5"/>
        <v>0</v>
      </c>
      <c r="T17" s="82">
        <f t="shared" si="6"/>
        <v>0</v>
      </c>
      <c r="U17" s="82">
        <f t="shared" si="7"/>
        <v>0</v>
      </c>
      <c r="V17" s="82">
        <f t="shared" si="8"/>
        <v>320400</v>
      </c>
      <c r="W17" s="84">
        <f t="shared" si="1"/>
        <v>0</v>
      </c>
      <c r="X17" s="82">
        <f t="shared" si="2"/>
        <v>0</v>
      </c>
      <c r="Y17" s="82">
        <f>IF(X17=0,-X16,X17-Y16-Y15-Y14-Y13-Y12-Y11-Y10-Y9-Y8)</f>
        <v>0</v>
      </c>
    </row>
    <row r="18" spans="2:25" x14ac:dyDescent="0.45">
      <c r="B18" s="251"/>
      <c r="C18" s="258"/>
      <c r="D18" s="258"/>
      <c r="E18" s="259"/>
      <c r="F18" s="258"/>
      <c r="G18" s="255"/>
      <c r="H18" s="252"/>
      <c r="I18" s="257"/>
      <c r="M18" s="60" t="s">
        <v>150</v>
      </c>
      <c r="N18" s="85"/>
      <c r="O18" s="82">
        <f t="shared" si="3"/>
        <v>0</v>
      </c>
      <c r="P18" s="82">
        <f t="shared" si="9"/>
        <v>4005</v>
      </c>
      <c r="Q18" s="82">
        <f t="shared" si="4"/>
        <v>44055</v>
      </c>
      <c r="R18" s="83">
        <f t="shared" si="10"/>
        <v>0</v>
      </c>
      <c r="S18" s="65">
        <f t="shared" si="5"/>
        <v>0</v>
      </c>
      <c r="T18" s="82">
        <f t="shared" si="6"/>
        <v>0</v>
      </c>
      <c r="U18" s="82">
        <f t="shared" si="7"/>
        <v>0</v>
      </c>
      <c r="V18" s="82">
        <f t="shared" si="8"/>
        <v>352440</v>
      </c>
      <c r="W18" s="84">
        <f t="shared" si="1"/>
        <v>0</v>
      </c>
      <c r="X18" s="82">
        <f t="shared" si="2"/>
        <v>0</v>
      </c>
      <c r="Y18" s="82">
        <f>IF(X18=0,-X17,X18-Y17-Y16-Y15-Y14-Y13-Y12-Y11-Y10-Y9-Y8)</f>
        <v>0</v>
      </c>
    </row>
    <row r="19" spans="2:25" x14ac:dyDescent="0.45">
      <c r="B19" s="251"/>
      <c r="C19" s="258"/>
      <c r="D19" s="258"/>
      <c r="E19" s="259"/>
      <c r="F19" s="258"/>
      <c r="G19" s="255"/>
      <c r="H19" s="252"/>
      <c r="I19" s="257"/>
      <c r="M19" s="60" t="s">
        <v>151</v>
      </c>
      <c r="N19" s="85"/>
      <c r="O19" s="82">
        <f t="shared" si="3"/>
        <v>0</v>
      </c>
      <c r="P19" s="82">
        <f t="shared" si="9"/>
        <v>4005</v>
      </c>
      <c r="Q19" s="82">
        <f t="shared" si="4"/>
        <v>48060</v>
      </c>
      <c r="R19" s="83">
        <f t="shared" si="10"/>
        <v>0</v>
      </c>
      <c r="S19" s="65">
        <f t="shared" si="5"/>
        <v>0</v>
      </c>
      <c r="T19" s="82">
        <f t="shared" si="6"/>
        <v>0</v>
      </c>
      <c r="U19" s="82">
        <f t="shared" si="7"/>
        <v>0</v>
      </c>
      <c r="V19" s="82">
        <f t="shared" si="8"/>
        <v>384480</v>
      </c>
      <c r="W19" s="84">
        <f t="shared" si="1"/>
        <v>0</v>
      </c>
      <c r="X19" s="82">
        <f t="shared" si="2"/>
        <v>0</v>
      </c>
      <c r="Y19" s="82">
        <f>IF(X19=0,-X18,X19-Y18-Y17-Y16-Y15-Y14-Y13-Y12-Y11-Y10-Y9-Y8)</f>
        <v>0</v>
      </c>
    </row>
    <row r="20" spans="2:25" x14ac:dyDescent="0.45">
      <c r="B20" s="251"/>
      <c r="C20" s="258"/>
      <c r="D20" s="260"/>
      <c r="E20" s="260"/>
      <c r="F20" s="258"/>
      <c r="G20" s="255"/>
      <c r="H20" s="252"/>
      <c r="I20" s="257"/>
    </row>
    <row r="21" spans="2:25" x14ac:dyDescent="0.45">
      <c r="B21" s="251"/>
      <c r="C21" s="258"/>
      <c r="D21" s="262"/>
      <c r="E21" s="259"/>
      <c r="F21" s="258"/>
      <c r="G21" s="255"/>
      <c r="H21" s="258"/>
      <c r="I21" s="257"/>
      <c r="M21" s="447" t="s">
        <v>537</v>
      </c>
      <c r="N21" s="447"/>
      <c r="O21" s="447"/>
      <c r="P21" s="86" t="s">
        <v>107</v>
      </c>
      <c r="Q21" s="444" t="s">
        <v>152</v>
      </c>
      <c r="R21" s="443" t="s">
        <v>467</v>
      </c>
      <c r="S21" s="451" t="s">
        <v>539</v>
      </c>
      <c r="T21" s="451" t="s">
        <v>538</v>
      </c>
    </row>
    <row r="22" spans="2:25" ht="14.25" customHeight="1" x14ac:dyDescent="0.45">
      <c r="B22" s="261"/>
      <c r="C22" s="258"/>
      <c r="D22" s="262"/>
      <c r="E22" s="259"/>
      <c r="F22" s="258"/>
      <c r="G22" s="256"/>
      <c r="H22" s="258"/>
      <c r="I22" s="257"/>
      <c r="M22" s="445" t="s">
        <v>153</v>
      </c>
      <c r="N22" s="445" t="s">
        <v>154</v>
      </c>
      <c r="O22" s="445"/>
      <c r="P22" s="446" t="s">
        <v>155</v>
      </c>
      <c r="Q22" s="444"/>
      <c r="R22" s="443"/>
      <c r="S22" s="451"/>
      <c r="T22" s="451"/>
    </row>
    <row r="23" spans="2:25" x14ac:dyDescent="0.45">
      <c r="B23" s="61"/>
      <c r="C23" s="23"/>
      <c r="D23" s="23"/>
      <c r="E23" s="23"/>
      <c r="F23" s="23"/>
      <c r="G23" s="23"/>
      <c r="H23" s="23"/>
      <c r="I23" s="59">
        <f>G23*H23</f>
        <v>0</v>
      </c>
      <c r="M23" s="445"/>
      <c r="N23" s="87" t="s">
        <v>153</v>
      </c>
      <c r="O23" s="87" t="s">
        <v>156</v>
      </c>
      <c r="P23" s="446"/>
      <c r="Q23" s="444"/>
      <c r="R23" s="443"/>
      <c r="S23" s="451"/>
      <c r="T23" s="451"/>
    </row>
    <row r="24" spans="2:25" x14ac:dyDescent="0.45">
      <c r="B24" s="61"/>
      <c r="C24" s="23"/>
      <c r="D24" s="23"/>
      <c r="E24" s="23"/>
      <c r="F24" s="23"/>
      <c r="G24" s="23"/>
      <c r="H24" s="23"/>
      <c r="I24" s="59">
        <f t="shared" ref="I24:I28" si="11">G24*H24</f>
        <v>0</v>
      </c>
      <c r="M24" s="60" t="s">
        <v>119</v>
      </c>
      <c r="N24" s="82">
        <f>N8</f>
        <v>0</v>
      </c>
      <c r="O24" s="82">
        <f>O8</f>
        <v>0</v>
      </c>
      <c r="P24" s="82">
        <f>Q8</f>
        <v>4005</v>
      </c>
      <c r="Q24" s="82">
        <f>IF(O24&lt;P24,0,O24)</f>
        <v>0</v>
      </c>
      <c r="R24" s="82">
        <f>IF(N8&lt;P8,N8,P8)</f>
        <v>0</v>
      </c>
      <c r="S24" s="385">
        <f>4*M4</f>
        <v>16020</v>
      </c>
      <c r="T24" s="60">
        <f>IF(N24&lt;S24,N24,S24)</f>
        <v>0</v>
      </c>
    </row>
    <row r="25" spans="2:25" x14ac:dyDescent="0.45">
      <c r="B25" s="61"/>
      <c r="C25" s="23"/>
      <c r="D25" s="23"/>
      <c r="E25" s="23"/>
      <c r="F25" s="23"/>
      <c r="G25" s="23"/>
      <c r="H25" s="23"/>
      <c r="I25" s="59">
        <f t="shared" si="11"/>
        <v>0</v>
      </c>
      <c r="M25" s="60" t="s">
        <v>157</v>
      </c>
      <c r="N25" s="82">
        <f t="shared" ref="N25:O34" si="12">N9</f>
        <v>0</v>
      </c>
      <c r="O25" s="82">
        <f t="shared" si="12"/>
        <v>0</v>
      </c>
      <c r="P25" s="82">
        <f t="shared" ref="P25:P35" si="13">Q9</f>
        <v>8010</v>
      </c>
      <c r="Q25" s="82">
        <f t="shared" ref="Q25:Q35" si="14">IF(AND(O25&gt;P25,O24&gt;P24),N25,IF(AND(O25&lt;P25,O24&gt;P24),-O24,IF(AND(O25&gt;P25,O24&lt;P24),O25,0)))</f>
        <v>0</v>
      </c>
      <c r="R25" s="82">
        <f t="shared" ref="R25:R35" si="15">IF(AND(O25&lt;P25,O24&lt;P24),R9,IF(AND(O25&gt;P25,O24&gt;P24),$M$4,IF(AND(O25&gt;P25,O24&lt;P24),R9,O25-P24)))</f>
        <v>0</v>
      </c>
      <c r="S25" s="385">
        <f>S24*2</f>
        <v>32040</v>
      </c>
      <c r="T25" s="60">
        <f>IF(AND(O25&lt;S25,O24&lt;S24),N25,IF(AND(O25&gt;S25,O24&gt;S24),$S$24,IF(AND(O25&gt;S25,O24&lt;S24),S25-O24,O25-S24)))</f>
        <v>0</v>
      </c>
    </row>
    <row r="26" spans="2:25" x14ac:dyDescent="0.45">
      <c r="B26" s="61"/>
      <c r="C26" s="23"/>
      <c r="D26" s="23"/>
      <c r="E26" s="23"/>
      <c r="F26" s="23"/>
      <c r="G26" s="23"/>
      <c r="H26" s="23"/>
      <c r="I26" s="59">
        <f t="shared" si="11"/>
        <v>0</v>
      </c>
      <c r="M26" s="60" t="s">
        <v>158</v>
      </c>
      <c r="N26" s="82">
        <f>N10</f>
        <v>0</v>
      </c>
      <c r="O26" s="82">
        <f t="shared" si="12"/>
        <v>0</v>
      </c>
      <c r="P26" s="82">
        <f t="shared" si="13"/>
        <v>12015</v>
      </c>
      <c r="Q26" s="82">
        <f t="shared" si="14"/>
        <v>0</v>
      </c>
      <c r="R26" s="82">
        <f t="shared" si="15"/>
        <v>0</v>
      </c>
      <c r="S26" s="385">
        <f>S24*3</f>
        <v>48060</v>
      </c>
      <c r="T26" s="60">
        <f t="shared" ref="T26:T35" si="16">IF(AND(O26&lt;S26,O25&lt;S25),N26,IF(AND(O26&gt;S26,O25&gt;S25),$S$24,IF(AND(O26&gt;S26,O25&lt;S25),S26-O25,O26-S25)))</f>
        <v>0</v>
      </c>
    </row>
    <row r="27" spans="2:25" x14ac:dyDescent="0.45">
      <c r="B27" s="61"/>
      <c r="C27" s="23"/>
      <c r="D27" s="23"/>
      <c r="E27" s="23"/>
      <c r="F27" s="23"/>
      <c r="G27" s="23"/>
      <c r="H27" s="23"/>
      <c r="I27" s="59">
        <f t="shared" si="11"/>
        <v>0</v>
      </c>
      <c r="M27" s="60" t="s">
        <v>159</v>
      </c>
      <c r="N27" s="82">
        <f>N11</f>
        <v>0</v>
      </c>
      <c r="O27" s="82">
        <f t="shared" si="12"/>
        <v>0</v>
      </c>
      <c r="P27" s="82">
        <f t="shared" si="13"/>
        <v>16020</v>
      </c>
      <c r="Q27" s="82">
        <f t="shared" si="14"/>
        <v>0</v>
      </c>
      <c r="R27" s="82">
        <f t="shared" si="15"/>
        <v>0</v>
      </c>
      <c r="S27" s="385">
        <f>S24*4</f>
        <v>64080</v>
      </c>
      <c r="T27" s="60">
        <f t="shared" si="16"/>
        <v>0</v>
      </c>
    </row>
    <row r="28" spans="2:25" x14ac:dyDescent="0.45">
      <c r="B28" s="61" t="s">
        <v>571</v>
      </c>
      <c r="C28" s="23"/>
      <c r="D28" s="65">
        <f>M3</f>
        <v>0</v>
      </c>
      <c r="E28" s="23"/>
      <c r="F28" s="23"/>
      <c r="G28" s="23"/>
      <c r="H28" s="23"/>
      <c r="I28" s="59">
        <f t="shared" si="11"/>
        <v>0</v>
      </c>
      <c r="M28" s="60" t="s">
        <v>160</v>
      </c>
      <c r="N28" s="82">
        <f t="shared" si="12"/>
        <v>0</v>
      </c>
      <c r="O28" s="82">
        <f t="shared" si="12"/>
        <v>0</v>
      </c>
      <c r="P28" s="82">
        <f t="shared" si="13"/>
        <v>20025</v>
      </c>
      <c r="Q28" s="82">
        <f t="shared" si="14"/>
        <v>0</v>
      </c>
      <c r="R28" s="82">
        <f t="shared" si="15"/>
        <v>0</v>
      </c>
      <c r="S28" s="385">
        <f>S24*5</f>
        <v>80100</v>
      </c>
      <c r="T28" s="60">
        <f t="shared" si="16"/>
        <v>0</v>
      </c>
    </row>
    <row r="29" spans="2:25" ht="15.75" x14ac:dyDescent="0.5">
      <c r="B29" s="68" t="s">
        <v>570</v>
      </c>
      <c r="C29" s="63"/>
      <c r="D29" s="65">
        <f>IF(M2&gt;0,M2,IF(I29&lt;M4,I29,M4))</f>
        <v>0</v>
      </c>
      <c r="E29" s="63"/>
      <c r="F29" s="63"/>
      <c r="G29" s="293" t="s">
        <v>83</v>
      </c>
      <c r="H29" s="293"/>
      <c r="I29" s="65">
        <f>SUM(I12:I28)</f>
        <v>0</v>
      </c>
      <c r="M29" s="60" t="s">
        <v>161</v>
      </c>
      <c r="N29" s="82">
        <f t="shared" si="12"/>
        <v>0</v>
      </c>
      <c r="O29" s="82">
        <f t="shared" si="12"/>
        <v>0</v>
      </c>
      <c r="P29" s="82">
        <f t="shared" si="13"/>
        <v>24030</v>
      </c>
      <c r="Q29" s="82">
        <f t="shared" si="14"/>
        <v>0</v>
      </c>
      <c r="R29" s="82">
        <f t="shared" si="15"/>
        <v>0</v>
      </c>
      <c r="S29" s="385">
        <f>S24*6</f>
        <v>96120</v>
      </c>
      <c r="T29" s="60">
        <f t="shared" si="16"/>
        <v>0</v>
      </c>
    </row>
    <row r="30" spans="2:25" x14ac:dyDescent="0.45">
      <c r="B30" s="462" t="s">
        <v>84</v>
      </c>
      <c r="C30" s="462"/>
      <c r="D30" s="462"/>
      <c r="E30" s="462" t="s">
        <v>85</v>
      </c>
      <c r="F30" s="463" t="s">
        <v>86</v>
      </c>
      <c r="G30" s="464"/>
      <c r="H30" s="307" t="s">
        <v>516</v>
      </c>
      <c r="I30" s="306"/>
      <c r="M30" s="60" t="s">
        <v>162</v>
      </c>
      <c r="N30" s="82">
        <f t="shared" si="12"/>
        <v>0</v>
      </c>
      <c r="O30" s="82">
        <f t="shared" si="12"/>
        <v>0</v>
      </c>
      <c r="P30" s="82">
        <f t="shared" si="13"/>
        <v>28035</v>
      </c>
      <c r="Q30" s="82">
        <f t="shared" si="14"/>
        <v>0</v>
      </c>
      <c r="R30" s="82">
        <f t="shared" si="15"/>
        <v>0</v>
      </c>
      <c r="S30" s="385">
        <f>S24*7</f>
        <v>112140</v>
      </c>
      <c r="T30" s="60">
        <f t="shared" si="16"/>
        <v>0</v>
      </c>
    </row>
    <row r="31" spans="2:25" x14ac:dyDescent="0.45">
      <c r="B31" s="462"/>
      <c r="C31" s="462"/>
      <c r="D31" s="462"/>
      <c r="E31" s="462"/>
      <c r="F31" s="305" t="s">
        <v>87</v>
      </c>
      <c r="G31" s="306" t="s">
        <v>88</v>
      </c>
      <c r="H31" s="305" t="s">
        <v>87</v>
      </c>
      <c r="I31" s="305" t="s">
        <v>88</v>
      </c>
      <c r="M31" s="60" t="s">
        <v>163</v>
      </c>
      <c r="N31" s="82">
        <f t="shared" si="12"/>
        <v>0</v>
      </c>
      <c r="O31" s="82">
        <f t="shared" si="12"/>
        <v>0</v>
      </c>
      <c r="P31" s="82">
        <f t="shared" si="13"/>
        <v>32040</v>
      </c>
      <c r="Q31" s="82">
        <f t="shared" si="14"/>
        <v>0</v>
      </c>
      <c r="R31" s="82">
        <f t="shared" si="15"/>
        <v>0</v>
      </c>
      <c r="S31" s="385">
        <f>S24*8</f>
        <v>128160</v>
      </c>
      <c r="T31" s="60">
        <f t="shared" si="16"/>
        <v>0</v>
      </c>
    </row>
    <row r="32" spans="2:25" x14ac:dyDescent="0.45">
      <c r="B32" s="311" t="s">
        <v>89</v>
      </c>
      <c r="C32" s="312"/>
      <c r="D32" s="313"/>
      <c r="E32" s="129"/>
      <c r="F32" s="129"/>
      <c r="G32" s="129"/>
      <c r="H32" s="129"/>
      <c r="I32" s="129"/>
      <c r="M32" s="60" t="s">
        <v>164</v>
      </c>
      <c r="N32" s="82">
        <f t="shared" si="12"/>
        <v>0</v>
      </c>
      <c r="O32" s="82">
        <f t="shared" si="12"/>
        <v>0</v>
      </c>
      <c r="P32" s="82">
        <f t="shared" si="13"/>
        <v>36045</v>
      </c>
      <c r="Q32" s="82">
        <f t="shared" si="14"/>
        <v>0</v>
      </c>
      <c r="R32" s="82">
        <f t="shared" si="15"/>
        <v>0</v>
      </c>
      <c r="S32" s="385">
        <f>S24*9</f>
        <v>144180</v>
      </c>
      <c r="T32" s="60">
        <f t="shared" si="16"/>
        <v>0</v>
      </c>
    </row>
    <row r="33" spans="2:20" x14ac:dyDescent="0.45">
      <c r="B33" s="284" t="s">
        <v>90</v>
      </c>
      <c r="C33" s="49"/>
      <c r="D33" s="22"/>
      <c r="E33" s="65">
        <f>I29</f>
        <v>0</v>
      </c>
      <c r="F33" s="298"/>
      <c r="G33" s="297"/>
      <c r="H33" s="299">
        <f>COTISATIONS!F22</f>
        <v>0.13</v>
      </c>
      <c r="I33" s="65">
        <f>E33*H33</f>
        <v>0</v>
      </c>
      <c r="M33" s="60" t="s">
        <v>165</v>
      </c>
      <c r="N33" s="82">
        <f t="shared" si="12"/>
        <v>0</v>
      </c>
      <c r="O33" s="82">
        <f t="shared" si="12"/>
        <v>0</v>
      </c>
      <c r="P33" s="82">
        <f t="shared" si="13"/>
        <v>40050</v>
      </c>
      <c r="Q33" s="82">
        <f t="shared" si="14"/>
        <v>0</v>
      </c>
      <c r="R33" s="82">
        <f t="shared" si="15"/>
        <v>0</v>
      </c>
      <c r="S33" s="385">
        <f>S24*10</f>
        <v>160200</v>
      </c>
      <c r="T33" s="60">
        <f t="shared" si="16"/>
        <v>0</v>
      </c>
    </row>
    <row r="34" spans="2:20" x14ac:dyDescent="0.45">
      <c r="B34" s="284" t="s">
        <v>91</v>
      </c>
      <c r="C34" s="49"/>
      <c r="D34" s="22"/>
      <c r="E34" s="65">
        <f>I29</f>
        <v>0</v>
      </c>
      <c r="F34" s="298"/>
      <c r="G34" s="297"/>
      <c r="H34" s="299">
        <f>COTISATIONS!F23</f>
        <v>3.0000000000000001E-3</v>
      </c>
      <c r="I34" s="65">
        <f>E34*H34</f>
        <v>0</v>
      </c>
      <c r="M34" s="60" t="s">
        <v>166</v>
      </c>
      <c r="N34" s="82">
        <f t="shared" si="12"/>
        <v>0</v>
      </c>
      <c r="O34" s="82">
        <f t="shared" si="12"/>
        <v>0</v>
      </c>
      <c r="P34" s="82">
        <f t="shared" si="13"/>
        <v>44055</v>
      </c>
      <c r="Q34" s="82">
        <f t="shared" si="14"/>
        <v>0</v>
      </c>
      <c r="R34" s="82">
        <f t="shared" si="15"/>
        <v>0</v>
      </c>
      <c r="S34" s="385">
        <f>S24*11</f>
        <v>176220</v>
      </c>
      <c r="T34" s="60">
        <f t="shared" si="16"/>
        <v>0</v>
      </c>
    </row>
    <row r="35" spans="2:20" x14ac:dyDescent="0.45">
      <c r="B35" s="284" t="s">
        <v>92</v>
      </c>
      <c r="C35" s="49"/>
      <c r="D35" s="22"/>
      <c r="E35" s="65">
        <f>I29</f>
        <v>0</v>
      </c>
      <c r="F35" s="298"/>
      <c r="G35" s="297"/>
      <c r="H35" s="299">
        <f>COTISATIONS!F15</f>
        <v>0.01</v>
      </c>
      <c r="I35" s="65">
        <f>E35*H35</f>
        <v>0</v>
      </c>
      <c r="M35" s="60" t="s">
        <v>167</v>
      </c>
      <c r="N35" s="82">
        <f>N19</f>
        <v>0</v>
      </c>
      <c r="O35" s="82">
        <f t="shared" ref="O35" si="17">O19</f>
        <v>0</v>
      </c>
      <c r="P35" s="82">
        <f t="shared" si="13"/>
        <v>48060</v>
      </c>
      <c r="Q35" s="82">
        <f t="shared" si="14"/>
        <v>0</v>
      </c>
      <c r="R35" s="82">
        <f t="shared" si="15"/>
        <v>0</v>
      </c>
      <c r="S35" s="385">
        <f>S24*12</f>
        <v>192240</v>
      </c>
      <c r="T35" s="60">
        <f t="shared" si="16"/>
        <v>0</v>
      </c>
    </row>
    <row r="36" spans="2:20" x14ac:dyDescent="0.45">
      <c r="B36" s="284" t="s">
        <v>517</v>
      </c>
      <c r="C36" s="49"/>
      <c r="D36" s="22"/>
      <c r="E36" s="65">
        <f>IF(COTISATIONS!F13&gt;10.99,BULLETIN!I29,0)</f>
        <v>0</v>
      </c>
      <c r="F36" s="298"/>
      <c r="G36" s="297"/>
      <c r="H36" s="299">
        <f>COTISATIONS!F16</f>
        <v>0</v>
      </c>
      <c r="I36" s="65">
        <f>H36*E36</f>
        <v>0</v>
      </c>
      <c r="T36" t="s">
        <v>168</v>
      </c>
    </row>
    <row r="37" spans="2:20" x14ac:dyDescent="0.45">
      <c r="B37" s="284" t="s">
        <v>518</v>
      </c>
      <c r="C37" s="49"/>
      <c r="D37" s="22"/>
      <c r="E37" s="65">
        <f>I29</f>
        <v>0</v>
      </c>
      <c r="F37" s="298"/>
      <c r="G37" s="297"/>
      <c r="H37" s="299">
        <f>COTISATIONS!F26</f>
        <v>5.2499999999999998E-2</v>
      </c>
      <c r="I37" s="65">
        <f t="shared" ref="I37" si="18">E37*H37</f>
        <v>0</v>
      </c>
      <c r="T37" s="60">
        <f>IF(M5="janvier",Q24,IF(M5="février",Q25,IF(M5="mars",Q26,IF(M5="avril",Q27,IF(M5="mai",Q28,IF(M5="juin",Q29,IF(M5="juillet",Q30,IF(M5="août",Q31,IF(M5="septembre",Q32,IF(M5="octobre",Q33,IF(M5="novembre",Q34,Q35)))))))))))</f>
        <v>0</v>
      </c>
    </row>
    <row r="38" spans="2:20" x14ac:dyDescent="0.45">
      <c r="B38" s="48" t="s">
        <v>93</v>
      </c>
      <c r="C38" s="49"/>
      <c r="D38" s="22"/>
      <c r="E38" s="65">
        <f>IF(COTISATIONS!F13&gt;11,BULLETIN!I55+BULLETIN!I67+BULLETIN!I68+BULLETIN!I69,0)</f>
        <v>0</v>
      </c>
      <c r="F38" s="298"/>
      <c r="G38" s="297"/>
      <c r="H38" s="299">
        <f>COTISATIONS!F33</f>
        <v>0.08</v>
      </c>
      <c r="I38" s="65">
        <f>E38*H38</f>
        <v>0</v>
      </c>
    </row>
    <row r="39" spans="2:20" x14ac:dyDescent="0.45">
      <c r="B39" s="284" t="s">
        <v>94</v>
      </c>
      <c r="C39" s="49"/>
      <c r="D39" s="22"/>
      <c r="E39" s="65">
        <f>I29</f>
        <v>0</v>
      </c>
      <c r="F39" s="299">
        <f>COTISATIONS!G25</f>
        <v>4.0000000000000001E-3</v>
      </c>
      <c r="G39" s="65">
        <f t="shared" ref="G39:G40" si="19">E39*F39</f>
        <v>0</v>
      </c>
      <c r="H39" s="299">
        <f>COTISATIONS!F25</f>
        <v>2.1100000000000001E-2</v>
      </c>
      <c r="I39" s="65">
        <f>E39*H39</f>
        <v>0</v>
      </c>
    </row>
    <row r="40" spans="2:20" x14ac:dyDescent="0.45">
      <c r="B40" s="284" t="s">
        <v>122</v>
      </c>
      <c r="C40" s="49"/>
      <c r="D40" s="22"/>
      <c r="E40" s="65">
        <f>IF(M5="janvier",R24,IF(M5="février",R25,IF(M5="mars",R26,IF(M5="avril",R27,IF(M5="mai",R28,IF(M5="juin",R29,IF(M5="juillet",R30,IF(M5="août",R31,IF(M5="septembre",R32,IF(M5="octobre",R33,IF(M5="novembre",R34,R35)))))))))))</f>
        <v>0</v>
      </c>
      <c r="F40" s="299">
        <f>COTISATIONS!G24</f>
        <v>6.9000000000000006E-2</v>
      </c>
      <c r="G40" s="65">
        <f t="shared" si="19"/>
        <v>0</v>
      </c>
      <c r="H40" s="299">
        <f>COTISATIONS!F24</f>
        <v>8.5500000000000007E-2</v>
      </c>
      <c r="I40" s="65">
        <f>E40*H40</f>
        <v>0</v>
      </c>
    </row>
    <row r="41" spans="2:20" x14ac:dyDescent="0.45">
      <c r="B41" s="284" t="s">
        <v>95</v>
      </c>
      <c r="C41" s="49"/>
      <c r="D41" s="22"/>
      <c r="E41" s="65">
        <f>((I29-J13)*98.25%)+I55+I67+I68+I69</f>
        <v>0</v>
      </c>
      <c r="F41" s="299">
        <f>COTISATIONS!G31</f>
        <v>6.8000000000000005E-2</v>
      </c>
      <c r="G41" s="65">
        <f>E41*F41</f>
        <v>0</v>
      </c>
      <c r="H41" s="298"/>
      <c r="I41" s="297"/>
    </row>
    <row r="42" spans="2:20" x14ac:dyDescent="0.45">
      <c r="B42" s="284" t="s">
        <v>96</v>
      </c>
      <c r="C42" s="49"/>
      <c r="D42" s="22"/>
      <c r="E42" s="65">
        <f>IF(H42=0.5%,I29,J45)</f>
        <v>0</v>
      </c>
      <c r="F42" s="298"/>
      <c r="G42" s="297"/>
      <c r="H42" s="299">
        <f>IF(COTISATIONS!F13&lt;50,COTISATIONS!F27,COTISATIONS!F28)</f>
        <v>1E-3</v>
      </c>
      <c r="I42" s="65">
        <f>E42*H42</f>
        <v>0</v>
      </c>
    </row>
    <row r="43" spans="2:20" x14ac:dyDescent="0.45">
      <c r="B43" s="284" t="s">
        <v>39</v>
      </c>
      <c r="C43" s="49"/>
      <c r="D43" s="22"/>
      <c r="E43" s="65">
        <f>I29</f>
        <v>0</v>
      </c>
      <c r="F43" s="309"/>
      <c r="G43" s="297"/>
      <c r="H43" s="300">
        <f>IF(COTISATIONS!I10="x",0,COTISATIONS!F34)</f>
        <v>1.6000000000000001E-4</v>
      </c>
      <c r="I43" s="65">
        <f>E43*H43</f>
        <v>0</v>
      </c>
    </row>
    <row r="44" spans="2:20" x14ac:dyDescent="0.45">
      <c r="B44" s="284" t="s">
        <v>410</v>
      </c>
      <c r="C44" s="49"/>
      <c r="D44" s="22"/>
      <c r="E44" s="297"/>
      <c r="F44" s="298"/>
      <c r="G44" s="6"/>
      <c r="H44" s="298"/>
      <c r="I44" s="65">
        <f>IF(RGDU!M53&gt;0,-RGDU!M53,-RGDU!M53)</f>
        <v>0</v>
      </c>
      <c r="J44" s="204">
        <f>IF(COTISATIONS!F13&lt;50,BULLETIN!D29,BULLETIN!I29)</f>
        <v>0</v>
      </c>
    </row>
    <row r="45" spans="2:20" x14ac:dyDescent="0.45">
      <c r="B45" s="452" t="s">
        <v>97</v>
      </c>
      <c r="C45" s="453"/>
      <c r="D45" s="396">
        <f>I44*IF(H42=0.1%,(0.0601/0.3781),(0.0601/0.3821))</f>
        <v>0</v>
      </c>
      <c r="E45" s="297"/>
      <c r="F45" s="298"/>
      <c r="G45" s="297"/>
      <c r="H45" s="298"/>
      <c r="I45" s="297"/>
      <c r="J45" s="204">
        <f>IF(AND(H42=0.1%,M2&gt;M4),M4,D29)</f>
        <v>0</v>
      </c>
    </row>
    <row r="46" spans="2:20" x14ac:dyDescent="0.45">
      <c r="B46" s="452" t="s">
        <v>512</v>
      </c>
      <c r="C46" s="453"/>
      <c r="D46" s="62">
        <f>I44-D45</f>
        <v>0</v>
      </c>
      <c r="E46" s="297"/>
      <c r="F46" s="298"/>
      <c r="G46" s="297"/>
      <c r="H46" s="298"/>
      <c r="I46" s="297"/>
      <c r="K46" s="205"/>
    </row>
    <row r="47" spans="2:20" x14ac:dyDescent="0.45">
      <c r="B47" s="284" t="s">
        <v>98</v>
      </c>
      <c r="C47" s="49"/>
      <c r="D47" s="22"/>
      <c r="E47" s="65">
        <f>I13+I14+I15</f>
        <v>0</v>
      </c>
      <c r="F47" s="299">
        <f>IF(I29&gt;M4,J49,11.31%)</f>
        <v>0.11310000000000001</v>
      </c>
      <c r="G47" s="65">
        <f>-E47*F47</f>
        <v>0</v>
      </c>
      <c r="H47" s="298"/>
      <c r="I47" s="297"/>
      <c r="K47" s="205"/>
    </row>
    <row r="48" spans="2:20" x14ac:dyDescent="0.45">
      <c r="B48" s="284" t="s">
        <v>99</v>
      </c>
      <c r="C48" s="49"/>
      <c r="D48" s="22"/>
      <c r="E48" s="65">
        <f>IF(BULLETIN!G12&lt;151.67,0,BULLETIN!G13+BULLETIN!G14+BULLETIN!G15)</f>
        <v>0</v>
      </c>
      <c r="F48" s="310"/>
      <c r="G48" s="297"/>
      <c r="H48" s="301">
        <f>IF(COTISATIONS!F13&gt;=20,0.5,1.5)</f>
        <v>1.5</v>
      </c>
      <c r="I48" s="65">
        <f>-E48*H48</f>
        <v>0</v>
      </c>
      <c r="J48" s="203">
        <f>G39+G40+G62+G63+G64+G65+G66</f>
        <v>0</v>
      </c>
      <c r="K48" s="205"/>
    </row>
    <row r="49" spans="2:13" x14ac:dyDescent="0.45">
      <c r="B49" s="314" t="s">
        <v>100</v>
      </c>
      <c r="C49" s="18"/>
      <c r="D49" s="19"/>
      <c r="E49" s="297"/>
      <c r="F49" s="298"/>
      <c r="G49" s="297"/>
      <c r="H49" s="298"/>
      <c r="I49" s="297"/>
      <c r="J49" s="376" t="e">
        <f>J48/I29</f>
        <v>#DIV/0!</v>
      </c>
      <c r="K49" s="205"/>
    </row>
    <row r="50" spans="2:13" x14ac:dyDescent="0.45">
      <c r="B50" s="284" t="s">
        <v>101</v>
      </c>
      <c r="C50" s="49"/>
      <c r="D50" s="22"/>
      <c r="E50" s="65">
        <f>IF(M5="janvier",T24,IF(M5="février",T25,IF(M5="mars",T26,IF(M5="avril",T27,IF(M5="mai",T28,IF(M5="juin",T29,IF(M5="juillet",T30,IF(M5="août",T31,IF(M5="septembre",T32,IF(M5="octobre",T33,IF(M5="novembre",T34,T35)))))))))))</f>
        <v>0</v>
      </c>
      <c r="F50" s="298"/>
      <c r="G50" s="297"/>
      <c r="H50" s="364">
        <f>IF(COTISATIONS!I10="x",0,COTISATIONS!F37)</f>
        <v>0.04</v>
      </c>
      <c r="I50" s="65">
        <f>E50*H50</f>
        <v>0</v>
      </c>
      <c r="K50" s="210"/>
    </row>
    <row r="51" spans="2:13" x14ac:dyDescent="0.45">
      <c r="B51" s="284" t="s">
        <v>102</v>
      </c>
      <c r="C51" s="49"/>
      <c r="D51" s="22"/>
      <c r="E51" s="65">
        <f>E50</f>
        <v>0</v>
      </c>
      <c r="F51" s="298"/>
      <c r="G51" s="297"/>
      <c r="H51" s="299">
        <f>IF(COTISATIONS!I10="x",0,COTISATIONS!F38)</f>
        <v>2.5000000000000001E-3</v>
      </c>
      <c r="I51" s="65">
        <f>E51*H51</f>
        <v>0</v>
      </c>
      <c r="K51" s="205"/>
    </row>
    <row r="52" spans="2:13" x14ac:dyDescent="0.45">
      <c r="B52" s="311" t="s">
        <v>116</v>
      </c>
      <c r="C52" s="312"/>
      <c r="D52" s="313"/>
      <c r="E52" s="65"/>
      <c r="F52" s="298"/>
      <c r="G52" s="297"/>
      <c r="H52" s="301"/>
      <c r="I52" s="65">
        <f>E52*H52</f>
        <v>0</v>
      </c>
      <c r="K52" s="205"/>
      <c r="L52" s="92" t="s">
        <v>481</v>
      </c>
    </row>
    <row r="53" spans="2:13" x14ac:dyDescent="0.45">
      <c r="B53" s="311" t="s">
        <v>103</v>
      </c>
      <c r="C53" s="312"/>
      <c r="D53" s="313"/>
      <c r="E53" s="297"/>
      <c r="F53" s="298"/>
      <c r="G53" s="297"/>
      <c r="H53" s="298"/>
      <c r="I53" s="297"/>
      <c r="K53" s="205"/>
    </row>
    <row r="54" spans="2:13" x14ac:dyDescent="0.45">
      <c r="B54" s="284" t="s">
        <v>104</v>
      </c>
      <c r="C54" s="49"/>
      <c r="D54" s="22"/>
      <c r="E54" s="65">
        <f>IF(COTISATIONS!I8="x",0,E50)</f>
        <v>0</v>
      </c>
      <c r="F54" s="300">
        <f>COTISATIONS!G43</f>
        <v>2.4000000000000001E-4</v>
      </c>
      <c r="G54" s="65">
        <f t="shared" ref="G54:G66" si="20">E54*F54</f>
        <v>0</v>
      </c>
      <c r="H54" s="300">
        <f>COTISATIONS!F43</f>
        <v>3.6000000000000002E-4</v>
      </c>
      <c r="I54" s="65">
        <f>E54*H54</f>
        <v>0</v>
      </c>
      <c r="K54" s="205"/>
    </row>
    <row r="55" spans="2:13" x14ac:dyDescent="0.45">
      <c r="B55" s="284" t="s">
        <v>105</v>
      </c>
      <c r="C55" s="49"/>
      <c r="D55" s="22"/>
      <c r="E55" s="65">
        <f>IF(J57&gt;M4,M4,J57)</f>
        <v>0</v>
      </c>
      <c r="F55" s="298"/>
      <c r="G55" s="297"/>
      <c r="H55" s="299">
        <f>COTISATIONS!F44</f>
        <v>1.4999999999999999E-2</v>
      </c>
      <c r="I55" s="65">
        <f>E55*H55</f>
        <v>0</v>
      </c>
      <c r="K55" s="205"/>
    </row>
    <row r="56" spans="2:13" x14ac:dyDescent="0.45">
      <c r="B56" s="311" t="s">
        <v>405</v>
      </c>
      <c r="C56" s="312"/>
      <c r="D56" s="313"/>
      <c r="E56" s="297"/>
      <c r="F56" s="298"/>
      <c r="G56" s="297"/>
      <c r="H56" s="298"/>
      <c r="I56" s="297"/>
      <c r="K56" s="205"/>
    </row>
    <row r="57" spans="2:13" x14ac:dyDescent="0.45">
      <c r="B57" s="284" t="s">
        <v>465</v>
      </c>
      <c r="C57" s="49"/>
      <c r="D57" s="22"/>
      <c r="E57" s="65">
        <f>I29</f>
        <v>0</v>
      </c>
      <c r="F57" s="298"/>
      <c r="G57" s="297"/>
      <c r="H57" s="299">
        <f>IF(COTISATIONS!F13&lt;11,COTISATIONS!F52,COTISATIONS!F53)</f>
        <v>5.4999999999999997E-3</v>
      </c>
      <c r="I57" s="65">
        <f>E57*H57</f>
        <v>0</v>
      </c>
      <c r="J57" s="204">
        <f>IF(COTISATIONS!I8="x",0,BULLETIN!M2)</f>
        <v>0</v>
      </c>
    </row>
    <row r="58" spans="2:13" x14ac:dyDescent="0.45">
      <c r="B58" s="284" t="s">
        <v>464</v>
      </c>
      <c r="C58" s="49"/>
      <c r="D58" s="22"/>
      <c r="E58" s="65">
        <f>I29</f>
        <v>0</v>
      </c>
      <c r="F58" s="298"/>
      <c r="G58" s="297"/>
      <c r="H58" s="299">
        <f>IF(COTISATIONS!I13="x",COTISATIONS!F53,0)</f>
        <v>0</v>
      </c>
      <c r="I58" s="65">
        <f>E58*H58</f>
        <v>0</v>
      </c>
    </row>
    <row r="59" spans="2:13" x14ac:dyDescent="0.45">
      <c r="B59" s="284" t="s">
        <v>406</v>
      </c>
      <c r="C59" s="49"/>
      <c r="D59" s="22"/>
      <c r="E59" s="65">
        <f>I29</f>
        <v>0</v>
      </c>
      <c r="F59" s="298"/>
      <c r="G59" s="297"/>
      <c r="H59" s="299">
        <f>COTISATIONS!F55</f>
        <v>6.7999999999999996E-3</v>
      </c>
      <c r="I59" s="65">
        <f>E59*H59</f>
        <v>0</v>
      </c>
      <c r="K59" s="209"/>
      <c r="L59" s="279"/>
      <c r="M59" s="209"/>
    </row>
    <row r="60" spans="2:13" x14ac:dyDescent="0.45">
      <c r="B60" s="284" t="s">
        <v>409</v>
      </c>
      <c r="C60" s="49"/>
      <c r="D60" s="22"/>
      <c r="E60" s="65">
        <f>IF(COTISATIONS!F13&gt;50,BULLETIN!I29,0)</f>
        <v>0</v>
      </c>
      <c r="F60" s="298"/>
      <c r="G60" s="297"/>
      <c r="H60" s="299">
        <f>COTISATIONS!F56</f>
        <v>4.4999999999999997E-3</v>
      </c>
      <c r="I60" s="65">
        <f>E60*H60</f>
        <v>0</v>
      </c>
      <c r="K60" s="209"/>
      <c r="L60" s="279"/>
      <c r="M60" s="209"/>
    </row>
    <row r="61" spans="2:13" x14ac:dyDescent="0.45">
      <c r="B61" s="311" t="s">
        <v>106</v>
      </c>
      <c r="C61" s="312"/>
      <c r="D61" s="313"/>
      <c r="E61" s="297"/>
      <c r="F61" s="298"/>
      <c r="G61" s="297"/>
      <c r="H61" s="298"/>
      <c r="I61" s="297"/>
    </row>
    <row r="62" spans="2:13" x14ac:dyDescent="0.45">
      <c r="B62" s="284" t="s">
        <v>50</v>
      </c>
      <c r="C62" s="49"/>
      <c r="D62" s="22"/>
      <c r="E62" s="65">
        <f>E40</f>
        <v>0</v>
      </c>
      <c r="F62" s="299">
        <f>COTISATIONS!G46</f>
        <v>3.15E-2</v>
      </c>
      <c r="G62" s="65">
        <f t="shared" si="20"/>
        <v>0</v>
      </c>
      <c r="H62" s="299">
        <f>COTISATIONS!F46</f>
        <v>4.7199999999999999E-2</v>
      </c>
      <c r="I62" s="65">
        <f t="shared" ref="I62:I70" si="21">E62*H62</f>
        <v>0</v>
      </c>
    </row>
    <row r="63" spans="2:13" x14ac:dyDescent="0.45">
      <c r="B63" s="284" t="s">
        <v>51</v>
      </c>
      <c r="C63" s="49"/>
      <c r="D63" s="22"/>
      <c r="E63" s="65">
        <f>M3</f>
        <v>0</v>
      </c>
      <c r="F63" s="299">
        <f>COTISATIONS!G47</f>
        <v>8.6400000000000005E-2</v>
      </c>
      <c r="G63" s="65">
        <f t="shared" si="20"/>
        <v>0</v>
      </c>
      <c r="H63" s="299">
        <f>COTISATIONS!F47</f>
        <v>0.1295</v>
      </c>
      <c r="I63" s="65">
        <f t="shared" si="21"/>
        <v>0</v>
      </c>
    </row>
    <row r="64" spans="2:13" x14ac:dyDescent="0.45">
      <c r="B64" s="284" t="s">
        <v>107</v>
      </c>
      <c r="C64" s="49"/>
      <c r="D64" s="22"/>
      <c r="E64" s="65">
        <f>T37</f>
        <v>0</v>
      </c>
      <c r="F64" s="299">
        <f>COTISATIONS!G48</f>
        <v>1.4E-3</v>
      </c>
      <c r="G64" s="65">
        <f t="shared" si="20"/>
        <v>0</v>
      </c>
      <c r="H64" s="299">
        <f>COTISATIONS!F48</f>
        <v>2.0999999999999999E-3</v>
      </c>
      <c r="I64" s="65">
        <f t="shared" si="21"/>
        <v>0</v>
      </c>
    </row>
    <row r="65" spans="2:23" x14ac:dyDescent="0.45">
      <c r="B65" s="284" t="s">
        <v>55</v>
      </c>
      <c r="C65" s="49"/>
      <c r="D65" s="22"/>
      <c r="E65" s="65">
        <f>E62</f>
        <v>0</v>
      </c>
      <c r="F65" s="299">
        <f>COTISATIONS!G49</f>
        <v>8.6E-3</v>
      </c>
      <c r="G65" s="65">
        <f t="shared" si="20"/>
        <v>0</v>
      </c>
      <c r="H65" s="299">
        <f>COTISATIONS!F49</f>
        <v>1.29E-2</v>
      </c>
      <c r="I65" s="65">
        <f t="shared" si="21"/>
        <v>0</v>
      </c>
    </row>
    <row r="66" spans="2:23" x14ac:dyDescent="0.45">
      <c r="B66" s="284" t="s">
        <v>56</v>
      </c>
      <c r="C66" s="49"/>
      <c r="D66" s="22"/>
      <c r="E66" s="65">
        <f>E63</f>
        <v>0</v>
      </c>
      <c r="F66" s="299">
        <f>COTISATIONS!G50</f>
        <v>1.0800000000000001E-2</v>
      </c>
      <c r="G66" s="65">
        <f t="shared" si="20"/>
        <v>0</v>
      </c>
      <c r="H66" s="299">
        <f>COTISATIONS!F50</f>
        <v>1.6199999999999999E-2</v>
      </c>
      <c r="I66" s="65">
        <f t="shared" si="21"/>
        <v>0</v>
      </c>
    </row>
    <row r="67" spans="2:23" x14ac:dyDescent="0.45">
      <c r="B67" s="48" t="s">
        <v>610</v>
      </c>
      <c r="C67" s="49"/>
      <c r="D67" s="22"/>
      <c r="E67" s="302"/>
      <c r="F67" s="303"/>
      <c r="G67" s="65">
        <f t="shared" ref="G67:G70" si="22">E67*F67</f>
        <v>0</v>
      </c>
      <c r="H67" s="303"/>
      <c r="I67" s="65">
        <f t="shared" si="21"/>
        <v>0</v>
      </c>
    </row>
    <row r="68" spans="2:23" x14ac:dyDescent="0.45">
      <c r="B68" s="48" t="s">
        <v>610</v>
      </c>
      <c r="C68" s="49"/>
      <c r="D68" s="22"/>
      <c r="E68" s="304"/>
      <c r="F68" s="303"/>
      <c r="G68" s="65">
        <f t="shared" si="22"/>
        <v>0</v>
      </c>
      <c r="H68" s="303"/>
      <c r="I68" s="65">
        <f t="shared" si="21"/>
        <v>0</v>
      </c>
    </row>
    <row r="69" spans="2:23" x14ac:dyDescent="0.45">
      <c r="B69" s="48" t="s">
        <v>108</v>
      </c>
      <c r="C69" s="49"/>
      <c r="D69" s="22"/>
      <c r="E69" s="302"/>
      <c r="F69" s="375"/>
      <c r="G69" s="65">
        <f t="shared" si="22"/>
        <v>0</v>
      </c>
      <c r="H69" s="375"/>
      <c r="I69" s="65">
        <f t="shared" si="21"/>
        <v>0</v>
      </c>
    </row>
    <row r="70" spans="2:23" x14ac:dyDescent="0.45">
      <c r="B70" s="55" t="s">
        <v>109</v>
      </c>
      <c r="C70" s="63"/>
      <c r="D70" s="46"/>
      <c r="E70" s="304"/>
      <c r="F70" s="303"/>
      <c r="G70" s="65">
        <f t="shared" si="22"/>
        <v>0</v>
      </c>
      <c r="H70" s="303"/>
      <c r="I70" s="65">
        <f t="shared" si="21"/>
        <v>0</v>
      </c>
    </row>
    <row r="71" spans="2:23" x14ac:dyDescent="0.45">
      <c r="B71" s="31"/>
      <c r="C71" s="23"/>
      <c r="D71" s="23"/>
      <c r="E71" s="401" t="s">
        <v>110</v>
      </c>
      <c r="F71" s="297"/>
      <c r="G71" s="62">
        <f>SUM(G33:G70)</f>
        <v>0</v>
      </c>
      <c r="H71" s="366"/>
      <c r="I71" s="308">
        <f>SUM(I32:I70)-I44-I48</f>
        <v>0</v>
      </c>
    </row>
    <row r="72" spans="2:23" x14ac:dyDescent="0.45">
      <c r="B72" s="68"/>
      <c r="C72" s="63"/>
      <c r="D72" s="63"/>
      <c r="E72" s="37" t="s">
        <v>22</v>
      </c>
      <c r="F72" s="6"/>
      <c r="G72" s="414">
        <f>IF(J13&gt;0,SUM(G32:G70)+J78,SUM(G32:G70)-G47+I74+I75)</f>
        <v>0</v>
      </c>
      <c r="H72" s="367"/>
      <c r="I72" s="415">
        <f>SUM(I32:I70)</f>
        <v>0</v>
      </c>
    </row>
    <row r="73" spans="2:23" ht="15.75" x14ac:dyDescent="0.5">
      <c r="B73" s="361" t="s">
        <v>510</v>
      </c>
      <c r="C73" s="362"/>
      <c r="D73" s="62">
        <f>I29-G72+SUM(I79:I88)</f>
        <v>0</v>
      </c>
      <c r="E73" s="400" t="s">
        <v>111</v>
      </c>
      <c r="F73" s="377"/>
      <c r="G73" s="377"/>
      <c r="H73" s="378"/>
      <c r="I73" s="73">
        <f>I29-J13-G71+I69+MALADIE!J32</f>
        <v>0</v>
      </c>
    </row>
    <row r="74" spans="2:23" x14ac:dyDescent="0.45">
      <c r="B74" s="68" t="s">
        <v>95</v>
      </c>
      <c r="C74" s="63"/>
      <c r="D74" s="63"/>
      <c r="E74" s="65">
        <f>E41</f>
        <v>0</v>
      </c>
      <c r="F74" s="63"/>
      <c r="G74" s="63"/>
      <c r="H74" s="365">
        <f>COTISATIONS!G30</f>
        <v>2.4E-2</v>
      </c>
      <c r="I74" s="74">
        <f>E74*H74</f>
        <v>0</v>
      </c>
    </row>
    <row r="75" spans="2:23" x14ac:dyDescent="0.45">
      <c r="B75" s="284" t="s">
        <v>112</v>
      </c>
      <c r="C75" s="49"/>
      <c r="D75" s="49"/>
      <c r="E75" s="65">
        <f>E41</f>
        <v>0</v>
      </c>
      <c r="F75" s="49"/>
      <c r="G75" s="49"/>
      <c r="H75" s="365">
        <f>COTISATIONS!F28</f>
        <v>5.0000000000000001E-3</v>
      </c>
      <c r="I75" s="74">
        <f>E75*H75</f>
        <v>0</v>
      </c>
    </row>
    <row r="76" spans="2:23" x14ac:dyDescent="0.45">
      <c r="B76" s="61" t="s">
        <v>519</v>
      </c>
      <c r="C76" s="23"/>
      <c r="D76" s="23"/>
      <c r="E76" s="75">
        <f>(I13+I14+I15)*0.9825</f>
        <v>0</v>
      </c>
      <c r="F76" s="63"/>
      <c r="G76" s="63"/>
      <c r="H76" s="76">
        <f>F41+H74+H75</f>
        <v>9.7000000000000003E-2</v>
      </c>
      <c r="I76" s="74">
        <f>E76*H76</f>
        <v>0</v>
      </c>
    </row>
    <row r="77" spans="2:23" x14ac:dyDescent="0.45">
      <c r="B77" s="61"/>
      <c r="C77" s="23"/>
      <c r="D77" s="23"/>
      <c r="E77" s="397" t="s">
        <v>113</v>
      </c>
      <c r="F77" s="379"/>
      <c r="G77" s="379"/>
      <c r="H77" s="380"/>
      <c r="I77" s="66">
        <f>I29-G71-J78</f>
        <v>0</v>
      </c>
      <c r="S77" s="202" t="s">
        <v>397</v>
      </c>
      <c r="T77" s="202"/>
    </row>
    <row r="78" spans="2:23" x14ac:dyDescent="0.45">
      <c r="B78" s="61"/>
      <c r="C78" s="23"/>
      <c r="D78" s="23"/>
      <c r="E78" s="23" t="s">
        <v>398</v>
      </c>
      <c r="F78" s="23"/>
      <c r="G78" s="23"/>
      <c r="H78" s="65">
        <f>I29-G72+I81</f>
        <v>0</v>
      </c>
      <c r="I78" s="33"/>
      <c r="J78" s="203">
        <f>I74+I75+I76</f>
        <v>0</v>
      </c>
      <c r="L78" s="448" t="s">
        <v>124</v>
      </c>
      <c r="M78" s="449"/>
      <c r="N78" s="449"/>
      <c r="O78" s="449"/>
      <c r="P78" s="450"/>
      <c r="S78" s="440" t="s">
        <v>564</v>
      </c>
      <c r="T78" s="441"/>
      <c r="U78" s="441"/>
      <c r="V78" s="441"/>
      <c r="W78" s="442"/>
    </row>
    <row r="79" spans="2:23" x14ac:dyDescent="0.45">
      <c r="B79" s="54"/>
      <c r="C79" s="23"/>
      <c r="D79" s="23"/>
      <c r="E79" s="23"/>
      <c r="F79" s="23"/>
      <c r="G79" s="23"/>
      <c r="H79" s="23"/>
      <c r="I79" s="25"/>
      <c r="L79" s="60" t="s">
        <v>125</v>
      </c>
      <c r="M79" s="60">
        <v>0</v>
      </c>
      <c r="N79" s="60"/>
      <c r="O79" s="60"/>
      <c r="P79" s="77">
        <f>W79</f>
        <v>0</v>
      </c>
      <c r="S79" s="60" t="s">
        <v>125</v>
      </c>
      <c r="T79" s="60">
        <v>1635</v>
      </c>
      <c r="U79" s="60"/>
      <c r="V79" s="60"/>
      <c r="W79" s="77">
        <v>0</v>
      </c>
    </row>
    <row r="80" spans="2:23" x14ac:dyDescent="0.45">
      <c r="B80" s="54"/>
      <c r="C80" s="23"/>
      <c r="D80" s="23"/>
      <c r="E80" s="23"/>
      <c r="F80" s="23"/>
      <c r="G80" s="23"/>
      <c r="H80" s="23"/>
      <c r="I80" s="25"/>
      <c r="L80" s="60" t="s">
        <v>126</v>
      </c>
      <c r="M80" s="60">
        <f t="shared" ref="M80:M98" si="23">T80</f>
        <v>1635</v>
      </c>
      <c r="N80" s="60" t="s">
        <v>127</v>
      </c>
      <c r="O80" s="60">
        <f>V80</f>
        <v>1698</v>
      </c>
      <c r="P80" s="77">
        <f t="shared" ref="P80:P98" si="24">W80</f>
        <v>5.0000000000000001E-3</v>
      </c>
      <c r="S80" s="60" t="s">
        <v>126</v>
      </c>
      <c r="T80" s="60">
        <v>1635</v>
      </c>
      <c r="U80" s="60" t="s">
        <v>127</v>
      </c>
      <c r="V80" s="60">
        <v>1698</v>
      </c>
      <c r="W80" s="77">
        <v>5.0000000000000001E-3</v>
      </c>
    </row>
    <row r="81" spans="2:23" x14ac:dyDescent="0.45">
      <c r="B81" s="277" t="s">
        <v>115</v>
      </c>
      <c r="C81" s="18"/>
      <c r="D81" s="18"/>
      <c r="E81" s="253"/>
      <c r="F81" s="253"/>
      <c r="G81" s="253"/>
      <c r="H81" s="253"/>
      <c r="I81" s="19"/>
      <c r="L81" s="60" t="s">
        <v>126</v>
      </c>
      <c r="M81" s="60">
        <f t="shared" si="23"/>
        <v>1698</v>
      </c>
      <c r="N81" s="60" t="s">
        <v>127</v>
      </c>
      <c r="O81" s="60">
        <f t="shared" ref="O81:O97" si="25">V81</f>
        <v>1807</v>
      </c>
      <c r="P81" s="77">
        <f t="shared" si="24"/>
        <v>1.2999999999999999E-2</v>
      </c>
      <c r="S81" s="60" t="s">
        <v>126</v>
      </c>
      <c r="T81" s="60">
        <v>1698</v>
      </c>
      <c r="U81" s="60" t="s">
        <v>127</v>
      </c>
      <c r="V81" s="60">
        <v>1807</v>
      </c>
      <c r="W81" s="77">
        <v>1.2999999999999999E-2</v>
      </c>
    </row>
    <row r="82" spans="2:23" x14ac:dyDescent="0.45">
      <c r="B82" s="274" t="s">
        <v>529</v>
      </c>
      <c r="C82" s="258"/>
      <c r="D82" s="258"/>
      <c r="E82" s="258"/>
      <c r="F82" s="258"/>
      <c r="G82" s="258"/>
      <c r="H82" s="258"/>
      <c r="I82" s="275"/>
      <c r="L82" s="60" t="s">
        <v>126</v>
      </c>
      <c r="M82" s="60">
        <f t="shared" si="23"/>
        <v>1807</v>
      </c>
      <c r="N82" s="60" t="s">
        <v>127</v>
      </c>
      <c r="O82" s="60">
        <f t="shared" si="25"/>
        <v>1928</v>
      </c>
      <c r="P82" s="77">
        <f t="shared" si="24"/>
        <v>2.1000000000000001E-2</v>
      </c>
      <c r="S82" s="60" t="s">
        <v>126</v>
      </c>
      <c r="T82" s="60">
        <v>1807</v>
      </c>
      <c r="U82" s="60" t="s">
        <v>127</v>
      </c>
      <c r="V82" s="60">
        <v>1928</v>
      </c>
      <c r="W82" s="77">
        <v>2.1000000000000001E-2</v>
      </c>
    </row>
    <row r="83" spans="2:23" x14ac:dyDescent="0.45">
      <c r="B83" s="274" t="s">
        <v>461</v>
      </c>
      <c r="C83" s="258"/>
      <c r="D83" s="258"/>
      <c r="E83" s="258"/>
      <c r="F83" s="258"/>
      <c r="G83" s="255"/>
      <c r="H83" s="276"/>
      <c r="I83" s="275"/>
      <c r="L83" s="60" t="s">
        <v>126</v>
      </c>
      <c r="M83" s="60">
        <f t="shared" si="23"/>
        <v>1928</v>
      </c>
      <c r="N83" s="60" t="s">
        <v>127</v>
      </c>
      <c r="O83" s="60">
        <f t="shared" si="25"/>
        <v>2060</v>
      </c>
      <c r="P83" s="77">
        <f t="shared" si="24"/>
        <v>2.9000000000000001E-2</v>
      </c>
      <c r="S83" s="60" t="s">
        <v>126</v>
      </c>
      <c r="T83" s="60">
        <v>1928</v>
      </c>
      <c r="U83" s="60" t="s">
        <v>127</v>
      </c>
      <c r="V83" s="60">
        <v>2060</v>
      </c>
      <c r="W83" s="77">
        <v>2.9000000000000001E-2</v>
      </c>
    </row>
    <row r="84" spans="2:23" x14ac:dyDescent="0.45">
      <c r="B84" s="274" t="s">
        <v>462</v>
      </c>
      <c r="C84" s="258"/>
      <c r="D84" s="258"/>
      <c r="E84" s="258"/>
      <c r="F84" s="258"/>
      <c r="G84" s="255"/>
      <c r="H84" s="276"/>
      <c r="I84" s="275"/>
      <c r="L84" s="60" t="s">
        <v>126</v>
      </c>
      <c r="M84" s="60">
        <f t="shared" si="23"/>
        <v>2060</v>
      </c>
      <c r="N84" s="60" t="s">
        <v>127</v>
      </c>
      <c r="O84" s="60">
        <f t="shared" si="25"/>
        <v>2170</v>
      </c>
      <c r="P84" s="77">
        <f t="shared" si="24"/>
        <v>3.5000000000000003E-2</v>
      </c>
      <c r="S84" s="60" t="s">
        <v>126</v>
      </c>
      <c r="T84" s="60">
        <v>2060</v>
      </c>
      <c r="U84" s="60" t="s">
        <v>127</v>
      </c>
      <c r="V84" s="60">
        <v>2170</v>
      </c>
      <c r="W84" s="77">
        <v>3.5000000000000003E-2</v>
      </c>
    </row>
    <row r="85" spans="2:23" x14ac:dyDescent="0.45">
      <c r="B85" s="274" t="s">
        <v>463</v>
      </c>
      <c r="C85" s="258"/>
      <c r="D85" s="258"/>
      <c r="E85" s="258"/>
      <c r="F85" s="258"/>
      <c r="G85" s="255"/>
      <c r="H85" s="258"/>
      <c r="I85" s="275"/>
      <c r="L85" s="60" t="s">
        <v>126</v>
      </c>
      <c r="M85" s="60">
        <f t="shared" si="23"/>
        <v>2170</v>
      </c>
      <c r="N85" s="60" t="s">
        <v>127</v>
      </c>
      <c r="O85" s="60">
        <f t="shared" si="25"/>
        <v>2315</v>
      </c>
      <c r="P85" s="77">
        <f t="shared" si="24"/>
        <v>4.1000000000000002E-2</v>
      </c>
      <c r="S85" s="60" t="s">
        <v>126</v>
      </c>
      <c r="T85" s="60">
        <v>2170</v>
      </c>
      <c r="U85" s="60" t="s">
        <v>127</v>
      </c>
      <c r="V85" s="60">
        <v>2315</v>
      </c>
      <c r="W85" s="77">
        <v>4.1000000000000002E-2</v>
      </c>
    </row>
    <row r="86" spans="2:23" x14ac:dyDescent="0.45">
      <c r="B86" s="54"/>
      <c r="C86" s="23"/>
      <c r="D86" s="23"/>
      <c r="E86" s="23"/>
      <c r="F86" s="23"/>
      <c r="G86" s="75"/>
      <c r="H86" s="58"/>
      <c r="I86" s="44"/>
      <c r="L86" s="60" t="s">
        <v>126</v>
      </c>
      <c r="M86" s="60">
        <f t="shared" si="23"/>
        <v>2315</v>
      </c>
      <c r="N86" s="60" t="s">
        <v>127</v>
      </c>
      <c r="O86" s="60">
        <f t="shared" si="25"/>
        <v>2738</v>
      </c>
      <c r="P86" s="77">
        <f t="shared" si="24"/>
        <v>5.2999999999999999E-2</v>
      </c>
      <c r="S86" s="60" t="s">
        <v>126</v>
      </c>
      <c r="T86" s="60">
        <v>2315</v>
      </c>
      <c r="U86" s="60" t="s">
        <v>127</v>
      </c>
      <c r="V86" s="60">
        <v>2738</v>
      </c>
      <c r="W86" s="77">
        <v>5.2999999999999999E-2</v>
      </c>
    </row>
    <row r="87" spans="2:23" x14ac:dyDescent="0.45">
      <c r="B87" s="54"/>
      <c r="C87" s="37"/>
      <c r="D87" s="23"/>
      <c r="E87" s="23"/>
      <c r="F87" s="23"/>
      <c r="G87" s="14"/>
      <c r="H87" s="23"/>
      <c r="I87" s="44"/>
      <c r="L87" s="60" t="s">
        <v>126</v>
      </c>
      <c r="M87" s="60">
        <f t="shared" si="23"/>
        <v>2738</v>
      </c>
      <c r="N87" s="60" t="s">
        <v>127</v>
      </c>
      <c r="O87" s="60">
        <f t="shared" si="25"/>
        <v>3135</v>
      </c>
      <c r="P87" s="77">
        <f t="shared" si="24"/>
        <v>7.4999999999999997E-2</v>
      </c>
      <c r="S87" s="60" t="s">
        <v>126</v>
      </c>
      <c r="T87" s="60">
        <v>2738</v>
      </c>
      <c r="U87" s="60" t="s">
        <v>127</v>
      </c>
      <c r="V87" s="60">
        <v>3135</v>
      </c>
      <c r="W87" s="77">
        <v>7.4999999999999997E-2</v>
      </c>
    </row>
    <row r="88" spans="2:23" x14ac:dyDescent="0.45">
      <c r="B88" s="54"/>
      <c r="C88" s="23"/>
      <c r="D88" s="23"/>
      <c r="E88" s="23"/>
      <c r="F88" s="23"/>
      <c r="G88" s="14"/>
      <c r="H88" s="58"/>
      <c r="I88" s="44"/>
      <c r="L88" s="60" t="s">
        <v>126</v>
      </c>
      <c r="M88" s="60">
        <f t="shared" si="23"/>
        <v>3135</v>
      </c>
      <c r="N88" s="60" t="s">
        <v>127</v>
      </c>
      <c r="O88" s="60">
        <f t="shared" si="25"/>
        <v>3571</v>
      </c>
      <c r="P88" s="77">
        <f t="shared" si="24"/>
        <v>9.9000000000000005E-2</v>
      </c>
      <c r="S88" s="60" t="s">
        <v>126</v>
      </c>
      <c r="T88" s="60">
        <v>3135</v>
      </c>
      <c r="U88" s="60" t="s">
        <v>127</v>
      </c>
      <c r="V88" s="60">
        <v>3571</v>
      </c>
      <c r="W88" s="77">
        <v>9.9000000000000005E-2</v>
      </c>
    </row>
    <row r="89" spans="2:23" x14ac:dyDescent="0.45">
      <c r="B89" s="54" t="s">
        <v>520</v>
      </c>
      <c r="C89" s="23"/>
      <c r="D89" s="23"/>
      <c r="E89" s="23"/>
      <c r="F89" s="23"/>
      <c r="G89" s="67">
        <f>IF(COTISATIONS!I14="x",BULLETIN!I73-COTISATIONS!F77,BULLETIN!I73)</f>
        <v>0</v>
      </c>
      <c r="H89" s="80">
        <f>IF(M100&gt;0,M100,M102)</f>
        <v>0</v>
      </c>
      <c r="I89" s="44">
        <f>-G89*H89</f>
        <v>0</v>
      </c>
      <c r="L89" s="60" t="s">
        <v>126</v>
      </c>
      <c r="M89" s="60">
        <f t="shared" si="23"/>
        <v>3571</v>
      </c>
      <c r="N89" s="60" t="s">
        <v>127</v>
      </c>
      <c r="O89" s="60">
        <f t="shared" si="25"/>
        <v>4019</v>
      </c>
      <c r="P89" s="77">
        <f t="shared" si="24"/>
        <v>0.11899999999999999</v>
      </c>
      <c r="S89" s="60" t="s">
        <v>126</v>
      </c>
      <c r="T89" s="60">
        <v>3571</v>
      </c>
      <c r="U89" s="60" t="s">
        <v>127</v>
      </c>
      <c r="V89" s="60">
        <v>4019</v>
      </c>
      <c r="W89" s="77">
        <v>0.11899999999999999</v>
      </c>
    </row>
    <row r="90" spans="2:23" ht="18" x14ac:dyDescent="0.55000000000000004">
      <c r="B90" s="68"/>
      <c r="C90" s="63"/>
      <c r="D90" s="63"/>
      <c r="E90" s="63"/>
      <c r="F90" s="398" t="s">
        <v>118</v>
      </c>
      <c r="G90" s="381"/>
      <c r="H90" s="382"/>
      <c r="I90" s="399">
        <f>SUM(I77:I89)</f>
        <v>0</v>
      </c>
      <c r="L90" s="60" t="s">
        <v>126</v>
      </c>
      <c r="M90" s="60">
        <f t="shared" si="23"/>
        <v>4019</v>
      </c>
      <c r="N90" s="60" t="s">
        <v>127</v>
      </c>
      <c r="O90" s="60">
        <f t="shared" si="25"/>
        <v>4690</v>
      </c>
      <c r="P90" s="77">
        <f t="shared" si="24"/>
        <v>0.13800000000000001</v>
      </c>
      <c r="S90" s="60" t="s">
        <v>126</v>
      </c>
      <c r="T90" s="60">
        <v>4019</v>
      </c>
      <c r="U90" s="60" t="s">
        <v>127</v>
      </c>
      <c r="V90" s="60">
        <v>4690</v>
      </c>
      <c r="W90" s="77">
        <v>0.13800000000000001</v>
      </c>
    </row>
    <row r="91" spans="2:23" x14ac:dyDescent="0.45">
      <c r="B91" s="284"/>
      <c r="C91" s="49"/>
      <c r="D91" s="49"/>
      <c r="E91" s="49"/>
      <c r="F91" s="49" t="s">
        <v>521</v>
      </c>
      <c r="G91" s="49"/>
      <c r="H91" s="454">
        <f>I29+I72</f>
        <v>0</v>
      </c>
      <c r="I91" s="455"/>
      <c r="L91" s="60" t="s">
        <v>126</v>
      </c>
      <c r="M91" s="60">
        <f t="shared" si="23"/>
        <v>4690</v>
      </c>
      <c r="N91" s="60" t="s">
        <v>127</v>
      </c>
      <c r="O91" s="60">
        <f t="shared" si="25"/>
        <v>5624</v>
      </c>
      <c r="P91" s="77">
        <f t="shared" si="24"/>
        <v>0.158</v>
      </c>
      <c r="S91" s="60" t="s">
        <v>126</v>
      </c>
      <c r="T91" s="60">
        <v>4690</v>
      </c>
      <c r="U91" s="60" t="s">
        <v>127</v>
      </c>
      <c r="V91" s="60">
        <v>5624</v>
      </c>
      <c r="W91" s="77">
        <v>0.158</v>
      </c>
    </row>
    <row r="92" spans="2:23" x14ac:dyDescent="0.45">
      <c r="B92" s="191" t="s">
        <v>382</v>
      </c>
      <c r="C92" s="192"/>
      <c r="D92" s="192"/>
      <c r="F92" s="370" t="s">
        <v>522</v>
      </c>
      <c r="G92" s="371"/>
      <c r="H92" s="370"/>
      <c r="I92" s="370"/>
      <c r="L92" s="60" t="s">
        <v>126</v>
      </c>
      <c r="M92" s="60">
        <f t="shared" si="23"/>
        <v>5624</v>
      </c>
      <c r="N92" s="60" t="s">
        <v>127</v>
      </c>
      <c r="O92" s="60">
        <f t="shared" si="25"/>
        <v>7037</v>
      </c>
      <c r="P92" s="77">
        <f t="shared" si="24"/>
        <v>0.17899999999999999</v>
      </c>
      <c r="S92" s="60" t="s">
        <v>126</v>
      </c>
      <c r="T92" s="60">
        <v>5624</v>
      </c>
      <c r="U92" s="60" t="s">
        <v>127</v>
      </c>
      <c r="V92" s="60">
        <v>7037</v>
      </c>
      <c r="W92" s="77">
        <v>0.17899999999999999</v>
      </c>
    </row>
    <row r="93" spans="2:23" x14ac:dyDescent="0.45">
      <c r="B93" s="191" t="s">
        <v>383</v>
      </c>
      <c r="C93" s="192"/>
      <c r="D93" s="193" t="e">
        <f>(G72-G69)/I29</f>
        <v>#DIV/0!</v>
      </c>
      <c r="F93" s="372">
        <f>F39+F40+F62+F65+F69+(F69*9.7%)+((F41+H74+H75)*98.25%)</f>
        <v>0.20840250000000002</v>
      </c>
      <c r="G93" s="370"/>
      <c r="H93" s="370"/>
      <c r="I93" s="370"/>
      <c r="L93" s="60" t="s">
        <v>126</v>
      </c>
      <c r="M93" s="60">
        <f t="shared" si="23"/>
        <v>7037</v>
      </c>
      <c r="N93" s="60" t="s">
        <v>127</v>
      </c>
      <c r="O93" s="60">
        <f t="shared" si="25"/>
        <v>8789</v>
      </c>
      <c r="P93" s="77">
        <f t="shared" si="24"/>
        <v>0.2</v>
      </c>
      <c r="S93" s="60" t="s">
        <v>126</v>
      </c>
      <c r="T93" s="60">
        <v>7037</v>
      </c>
      <c r="U93" s="60" t="s">
        <v>127</v>
      </c>
      <c r="V93" s="60">
        <v>8789</v>
      </c>
      <c r="W93" s="77">
        <v>0.2</v>
      </c>
    </row>
    <row r="94" spans="2:23" x14ac:dyDescent="0.45">
      <c r="B94" s="191" t="s">
        <v>384</v>
      </c>
      <c r="C94" s="192"/>
      <c r="D94" s="194" t="e">
        <f>(I29-(I29*D93))/2</f>
        <v>#DIV/0!</v>
      </c>
      <c r="F94" s="370" t="s">
        <v>523</v>
      </c>
      <c r="G94" s="370"/>
      <c r="H94" s="370"/>
      <c r="I94" s="370"/>
      <c r="L94" s="60" t="s">
        <v>126</v>
      </c>
      <c r="M94" s="60">
        <f t="shared" si="23"/>
        <v>8789</v>
      </c>
      <c r="N94" s="60" t="s">
        <v>127</v>
      </c>
      <c r="O94" s="60">
        <f t="shared" si="25"/>
        <v>12200</v>
      </c>
      <c r="P94" s="77">
        <f t="shared" si="24"/>
        <v>0.24</v>
      </c>
      <c r="S94" s="60" t="s">
        <v>126</v>
      </c>
      <c r="T94" s="60">
        <v>8789</v>
      </c>
      <c r="U94" s="60" t="s">
        <v>127</v>
      </c>
      <c r="V94" s="60">
        <v>12200</v>
      </c>
      <c r="W94" s="77">
        <v>0.24</v>
      </c>
    </row>
    <row r="95" spans="2:23" x14ac:dyDescent="0.45">
      <c r="B95" s="195" t="s">
        <v>385</v>
      </c>
      <c r="C95" s="11"/>
      <c r="D95" s="11"/>
      <c r="L95" s="60" t="s">
        <v>126</v>
      </c>
      <c r="M95" s="60">
        <f t="shared" si="23"/>
        <v>12200</v>
      </c>
      <c r="N95" s="60" t="s">
        <v>127</v>
      </c>
      <c r="O95" s="60">
        <f t="shared" si="25"/>
        <v>16523</v>
      </c>
      <c r="P95" s="77">
        <f t="shared" si="24"/>
        <v>0.28000000000000003</v>
      </c>
      <c r="S95" s="60" t="s">
        <v>126</v>
      </c>
      <c r="T95" s="60">
        <v>12200</v>
      </c>
      <c r="U95" s="60" t="s">
        <v>127</v>
      </c>
      <c r="V95" s="60">
        <v>16523</v>
      </c>
      <c r="W95" s="77">
        <v>0.28000000000000003</v>
      </c>
    </row>
    <row r="96" spans="2:23" x14ac:dyDescent="0.45">
      <c r="B96" s="195" t="s">
        <v>386</v>
      </c>
      <c r="C96" s="11"/>
      <c r="D96" s="196">
        <f>I77*10%</f>
        <v>0</v>
      </c>
      <c r="L96" s="60" t="s">
        <v>126</v>
      </c>
      <c r="M96" s="60">
        <f t="shared" si="23"/>
        <v>16523</v>
      </c>
      <c r="N96" s="60" t="s">
        <v>127</v>
      </c>
      <c r="O96" s="60">
        <f t="shared" si="25"/>
        <v>25937</v>
      </c>
      <c r="P96" s="77">
        <f t="shared" si="24"/>
        <v>0.33</v>
      </c>
      <c r="S96" s="60" t="s">
        <v>126</v>
      </c>
      <c r="T96" s="60">
        <v>16523</v>
      </c>
      <c r="U96" s="60" t="s">
        <v>127</v>
      </c>
      <c r="V96" s="60">
        <v>25937</v>
      </c>
      <c r="W96" s="77">
        <v>0.33</v>
      </c>
    </row>
    <row r="97" spans="12:23" x14ac:dyDescent="0.45">
      <c r="L97" s="60" t="s">
        <v>126</v>
      </c>
      <c r="M97" s="60">
        <f t="shared" si="23"/>
        <v>25937</v>
      </c>
      <c r="N97" s="60" t="s">
        <v>127</v>
      </c>
      <c r="O97" s="60">
        <f t="shared" si="25"/>
        <v>55558</v>
      </c>
      <c r="P97" s="77">
        <f t="shared" si="24"/>
        <v>0.38</v>
      </c>
      <c r="S97" s="60" t="s">
        <v>126</v>
      </c>
      <c r="T97" s="60">
        <v>25937</v>
      </c>
      <c r="U97" s="60" t="s">
        <v>127</v>
      </c>
      <c r="V97" s="60">
        <v>55558</v>
      </c>
      <c r="W97" s="77">
        <v>0.38</v>
      </c>
    </row>
    <row r="98" spans="12:23" x14ac:dyDescent="0.45">
      <c r="L98" s="60" t="s">
        <v>128</v>
      </c>
      <c r="M98" s="60">
        <f t="shared" si="23"/>
        <v>55558</v>
      </c>
      <c r="N98" s="60"/>
      <c r="O98" s="60"/>
      <c r="P98" s="77">
        <f t="shared" si="24"/>
        <v>0.43</v>
      </c>
      <c r="S98" s="60" t="s">
        <v>128</v>
      </c>
      <c r="T98" s="60">
        <v>55558</v>
      </c>
      <c r="U98" s="60"/>
      <c r="V98" s="60"/>
      <c r="W98" s="77">
        <v>0.43</v>
      </c>
    </row>
    <row r="100" spans="12:23" x14ac:dyDescent="0.45">
      <c r="L100" t="s">
        <v>129</v>
      </c>
      <c r="M100" s="78"/>
    </row>
    <row r="102" spans="12:23" x14ac:dyDescent="0.45">
      <c r="L102" t="s">
        <v>130</v>
      </c>
      <c r="M102" s="79">
        <f>VLOOKUP(G89,M79:P98,4)</f>
        <v>0</v>
      </c>
    </row>
  </sheetData>
  <mergeCells count="25">
    <mergeCell ref="B45:C45"/>
    <mergeCell ref="B46:C46"/>
    <mergeCell ref="H91:I91"/>
    <mergeCell ref="B2:I2"/>
    <mergeCell ref="B6:E6"/>
    <mergeCell ref="B30:D31"/>
    <mergeCell ref="E30:E31"/>
    <mergeCell ref="F30:G30"/>
    <mergeCell ref="F6:I6"/>
    <mergeCell ref="B5:E5"/>
    <mergeCell ref="B3:E3"/>
    <mergeCell ref="B4:E4"/>
    <mergeCell ref="F3:I3"/>
    <mergeCell ref="F4:I4"/>
    <mergeCell ref="F5:I5"/>
    <mergeCell ref="S78:W78"/>
    <mergeCell ref="R21:R23"/>
    <mergeCell ref="Q21:Q23"/>
    <mergeCell ref="M22:M23"/>
    <mergeCell ref="N22:O22"/>
    <mergeCell ref="P22:P23"/>
    <mergeCell ref="M21:O21"/>
    <mergeCell ref="L78:P78"/>
    <mergeCell ref="S21:S23"/>
    <mergeCell ref="T21:T23"/>
  </mergeCells>
  <phoneticPr fontId="35" type="noConversion"/>
  <conditionalFormatting sqref="E50:E51">
    <cfRule type="cellIs" dxfId="5" priority="1" operator="greaterThan">
      <formula>15456</formula>
    </cfRule>
  </conditionalFormatting>
  <conditionalFormatting sqref="E64">
    <cfRule type="cellIs" dxfId="4" priority="2" operator="notBetween">
      <formula>0</formula>
      <formula>0</formula>
    </cfRule>
  </conditionalFormatting>
  <conditionalFormatting sqref="Y8:Y19">
    <cfRule type="cellIs" dxfId="3" priority="3" operator="notBetween">
      <formula>0</formula>
      <formula>0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778-80B7-455E-9230-4C1CD9CA4EC4}">
  <dimension ref="B1:J95"/>
  <sheetViews>
    <sheetView topLeftCell="A50" workbookViewId="0">
      <selection activeCell="E93" sqref="E93"/>
    </sheetView>
  </sheetViews>
  <sheetFormatPr baseColWidth="10" defaultRowHeight="14.25" x14ac:dyDescent="0.45"/>
  <cols>
    <col min="1" max="1" width="1.06640625" customWidth="1"/>
    <col min="2" max="2" width="16.59765625" customWidth="1"/>
    <col min="3" max="3" width="13.1328125" customWidth="1"/>
    <col min="4" max="4" width="10.59765625" customWidth="1"/>
    <col min="5" max="5" width="9.59765625" customWidth="1"/>
    <col min="6" max="7" width="11.59765625" customWidth="1"/>
    <col min="8" max="8" width="7.46484375" customWidth="1"/>
    <col min="9" max="9" width="7" customWidth="1"/>
    <col min="10" max="10" width="7.86328125" customWidth="1"/>
  </cols>
  <sheetData>
    <row r="1" spans="2:10" ht="2.65" customHeight="1" x14ac:dyDescent="0.45">
      <c r="I1" s="23"/>
      <c r="J1" s="23"/>
    </row>
    <row r="2" spans="2:10" ht="15.75" customHeight="1" x14ac:dyDescent="0.45">
      <c r="B2" s="243">
        <f>COTISATIONS!D5</f>
        <v>0</v>
      </c>
      <c r="C2" s="223"/>
      <c r="D2" s="224"/>
      <c r="E2" s="357" t="s">
        <v>72</v>
      </c>
      <c r="F2" s="224"/>
      <c r="G2" s="224"/>
      <c r="H2" s="224"/>
      <c r="I2" s="23"/>
      <c r="J2" s="23"/>
    </row>
    <row r="3" spans="2:10" ht="10.050000000000001" customHeight="1" x14ac:dyDescent="0.45">
      <c r="B3" s="244">
        <f>COTISATIONS!D6</f>
        <v>0</v>
      </c>
      <c r="C3" s="225"/>
      <c r="D3" s="225"/>
      <c r="E3" s="225"/>
      <c r="F3" s="226"/>
      <c r="G3" s="225"/>
      <c r="H3" s="225"/>
      <c r="I3" s="23"/>
      <c r="J3" s="23"/>
    </row>
    <row r="4" spans="2:10" ht="10.050000000000001" customHeight="1" x14ac:dyDescent="0.45">
      <c r="B4" s="244">
        <f>COTISATIONS!D7</f>
        <v>0</v>
      </c>
      <c r="C4" s="225"/>
      <c r="D4" s="225"/>
      <c r="E4" s="225" t="s">
        <v>411</v>
      </c>
      <c r="F4" s="226" t="str">
        <f>COTISATIONS!D11</f>
        <v>janvier</v>
      </c>
      <c r="G4" s="225"/>
      <c r="H4" s="226"/>
      <c r="I4" s="23"/>
      <c r="J4" s="23"/>
    </row>
    <row r="5" spans="2:10" ht="4.1500000000000004" customHeight="1" x14ac:dyDescent="0.45">
      <c r="B5" s="225"/>
      <c r="C5" s="225"/>
      <c r="D5" s="225"/>
      <c r="E5" s="225"/>
      <c r="F5" s="225"/>
      <c r="G5" s="225"/>
      <c r="H5" s="225"/>
      <c r="I5" s="23"/>
      <c r="J5" s="23"/>
    </row>
    <row r="6" spans="2:10" ht="2.25" customHeight="1" x14ac:dyDescent="0.45">
      <c r="B6" s="225"/>
      <c r="C6" s="225"/>
      <c r="D6" s="225"/>
      <c r="E6" s="225"/>
      <c r="F6" s="225"/>
      <c r="G6" s="225"/>
      <c r="H6" s="225"/>
      <c r="I6" s="23"/>
      <c r="J6" s="23"/>
    </row>
    <row r="7" spans="2:10" ht="10.050000000000001" customHeight="1" x14ac:dyDescent="0.45">
      <c r="B7" s="227" t="s">
        <v>412</v>
      </c>
      <c r="C7" s="245">
        <f>COTISATIONS!D8</f>
        <v>0</v>
      </c>
      <c r="D7" s="225"/>
      <c r="E7" s="225"/>
      <c r="F7" s="225"/>
      <c r="G7" s="225"/>
      <c r="H7" s="225"/>
      <c r="I7" s="23"/>
      <c r="J7" s="23"/>
    </row>
    <row r="8" spans="2:10" ht="10.050000000000001" customHeight="1" x14ac:dyDescent="0.45">
      <c r="B8" s="227" t="s">
        <v>413</v>
      </c>
      <c r="C8" s="246">
        <f>COTISATIONS!D9</f>
        <v>0</v>
      </c>
      <c r="D8" s="225"/>
      <c r="E8" s="211"/>
      <c r="F8" s="212"/>
      <c r="G8" s="212"/>
      <c r="H8" s="212"/>
      <c r="I8" s="7"/>
      <c r="J8" s="23"/>
    </row>
    <row r="9" spans="2:10" ht="10.050000000000001" customHeight="1" x14ac:dyDescent="0.45">
      <c r="B9" s="227" t="s">
        <v>414</v>
      </c>
      <c r="C9" s="246"/>
      <c r="D9" s="225"/>
      <c r="E9" s="211"/>
      <c r="F9" s="212"/>
      <c r="G9" s="212"/>
      <c r="H9" s="212"/>
      <c r="I9" s="7"/>
      <c r="J9" s="23"/>
    </row>
    <row r="10" spans="2:10" ht="10.050000000000001" customHeight="1" x14ac:dyDescent="0.45">
      <c r="B10" s="227" t="s">
        <v>415</v>
      </c>
      <c r="C10" s="246"/>
      <c r="D10" s="225"/>
      <c r="E10" s="211"/>
      <c r="F10" s="213">
        <f>COTISATIONS!G6</f>
        <v>0</v>
      </c>
      <c r="G10" s="236">
        <f>COTISATIONS!G5</f>
        <v>0</v>
      </c>
      <c r="H10" s="212"/>
      <c r="I10" s="7"/>
      <c r="J10" s="23"/>
    </row>
    <row r="11" spans="2:10" ht="10.050000000000001" customHeight="1" x14ac:dyDescent="0.45">
      <c r="B11" s="227" t="s">
        <v>416</v>
      </c>
      <c r="C11" s="246"/>
      <c r="D11" s="225"/>
      <c r="E11" s="211"/>
      <c r="F11" s="213">
        <f>COTISATIONS!I5</f>
        <v>0</v>
      </c>
      <c r="G11" s="212"/>
      <c r="H11" s="212"/>
      <c r="I11" s="7"/>
      <c r="J11" s="23"/>
    </row>
    <row r="12" spans="2:10" ht="10.050000000000001" customHeight="1" x14ac:dyDescent="0.45">
      <c r="B12" s="227" t="s">
        <v>417</v>
      </c>
      <c r="C12" s="246">
        <f>COTISATIONS!G7</f>
        <v>0</v>
      </c>
      <c r="D12" s="225"/>
      <c r="E12" s="211"/>
      <c r="F12" s="213">
        <f>COTISATIONS!I6</f>
        <v>0</v>
      </c>
      <c r="G12" s="212"/>
      <c r="H12" s="212"/>
      <c r="I12" s="7"/>
      <c r="J12" s="23"/>
    </row>
    <row r="13" spans="2:10" ht="10.050000000000001" customHeight="1" x14ac:dyDescent="0.45">
      <c r="B13" s="227" t="s">
        <v>418</v>
      </c>
      <c r="C13" s="246"/>
      <c r="D13" s="225"/>
      <c r="E13" s="211"/>
      <c r="F13" s="212"/>
      <c r="G13" s="212"/>
      <c r="H13" s="212"/>
      <c r="I13" s="7"/>
      <c r="J13" s="23"/>
    </row>
    <row r="14" spans="2:10" ht="10.050000000000001" customHeight="1" x14ac:dyDescent="0.45">
      <c r="B14" s="227" t="s">
        <v>419</v>
      </c>
      <c r="C14" s="246"/>
      <c r="D14" s="225"/>
      <c r="E14" s="211"/>
      <c r="F14" s="212"/>
      <c r="G14" s="212"/>
      <c r="H14" s="212"/>
      <c r="I14" s="7"/>
      <c r="J14" s="23"/>
    </row>
    <row r="15" spans="2:10" ht="10.050000000000001" customHeight="1" x14ac:dyDescent="0.45">
      <c r="B15" s="227" t="s">
        <v>420</v>
      </c>
      <c r="C15" s="246"/>
      <c r="D15" s="225"/>
      <c r="E15" s="225"/>
      <c r="F15" s="225"/>
      <c r="G15" s="225"/>
      <c r="H15" s="225"/>
      <c r="I15" s="23"/>
      <c r="J15" s="23"/>
    </row>
    <row r="16" spans="2:10" ht="10.050000000000001" customHeight="1" x14ac:dyDescent="0.45">
      <c r="B16" s="227" t="s">
        <v>421</v>
      </c>
      <c r="C16" s="246"/>
      <c r="D16" s="225"/>
      <c r="E16" s="225"/>
      <c r="F16" s="225"/>
      <c r="G16" s="225"/>
      <c r="H16" s="225"/>
      <c r="I16" s="23"/>
      <c r="J16" s="23"/>
    </row>
    <row r="17" spans="2:10" ht="1.9" customHeight="1" x14ac:dyDescent="0.45">
      <c r="B17" s="227"/>
      <c r="C17" s="226"/>
      <c r="D17" s="225"/>
      <c r="E17" s="225"/>
      <c r="F17" s="225"/>
      <c r="G17" s="225"/>
      <c r="H17" s="225"/>
      <c r="I17" s="23"/>
      <c r="J17" s="23"/>
    </row>
    <row r="18" spans="2:10" ht="10.050000000000001" customHeight="1" x14ac:dyDescent="0.45">
      <c r="B18" s="227" t="s">
        <v>422</v>
      </c>
      <c r="C18" s="246"/>
      <c r="D18" s="225"/>
      <c r="E18" s="225"/>
      <c r="F18" s="225"/>
      <c r="G18" s="225"/>
      <c r="H18" s="225"/>
      <c r="I18" s="23"/>
      <c r="J18" s="23"/>
    </row>
    <row r="19" spans="2:10" ht="10.050000000000001" customHeight="1" x14ac:dyDescent="0.45">
      <c r="B19" s="227" t="s">
        <v>423</v>
      </c>
      <c r="C19" s="246"/>
      <c r="D19" s="225"/>
      <c r="E19" s="225"/>
      <c r="F19" s="225"/>
      <c r="G19" s="225"/>
      <c r="H19" s="225"/>
      <c r="I19" s="23"/>
      <c r="J19" s="23"/>
    </row>
    <row r="20" spans="2:10" ht="3.4" customHeight="1" x14ac:dyDescent="0.45">
      <c r="B20" s="227"/>
      <c r="C20" s="226"/>
      <c r="D20" s="225"/>
      <c r="E20" s="225"/>
      <c r="F20" s="225"/>
      <c r="G20" s="225"/>
      <c r="H20" s="225"/>
      <c r="I20" s="23"/>
      <c r="J20" s="23"/>
    </row>
    <row r="21" spans="2:10" ht="10.050000000000001" customHeight="1" x14ac:dyDescent="0.45">
      <c r="B21" s="227" t="s">
        <v>78</v>
      </c>
      <c r="C21" s="246">
        <f>COTISATIONS!D10</f>
        <v>0</v>
      </c>
      <c r="D21" s="225"/>
      <c r="E21" s="225"/>
      <c r="F21" s="225"/>
      <c r="G21" s="225"/>
      <c r="H21" s="225"/>
      <c r="I21" s="23"/>
      <c r="J21" s="23"/>
    </row>
    <row r="22" spans="2:10" ht="9.75" hidden="1" customHeight="1" x14ac:dyDescent="0.45">
      <c r="B22" s="224"/>
      <c r="C22" s="224"/>
      <c r="D22" s="224"/>
      <c r="E22" s="224"/>
      <c r="F22" s="224"/>
      <c r="G22" s="224"/>
      <c r="H22" s="224"/>
      <c r="I22" s="23"/>
      <c r="J22" s="23"/>
    </row>
    <row r="23" spans="2:10" ht="10.15" customHeight="1" x14ac:dyDescent="0.45">
      <c r="B23" s="488" t="s">
        <v>424</v>
      </c>
      <c r="C23" s="215"/>
      <c r="D23" s="477" t="s">
        <v>425</v>
      </c>
      <c r="E23" s="477" t="s">
        <v>426</v>
      </c>
      <c r="F23" s="477" t="s">
        <v>427</v>
      </c>
      <c r="G23" s="477" t="s">
        <v>428</v>
      </c>
      <c r="H23" s="477" t="s">
        <v>429</v>
      </c>
      <c r="I23" s="477"/>
      <c r="J23" s="478"/>
    </row>
    <row r="24" spans="2:10" ht="1.1499999999999999" customHeight="1" x14ac:dyDescent="0.45">
      <c r="B24" s="488"/>
      <c r="C24" s="217"/>
      <c r="D24" s="477"/>
      <c r="E24" s="477"/>
      <c r="F24" s="477"/>
      <c r="G24" s="477"/>
      <c r="H24" s="477"/>
      <c r="I24" s="477"/>
      <c r="J24" s="478"/>
    </row>
    <row r="25" spans="2:10" ht="10.050000000000001" customHeight="1" x14ac:dyDescent="0.45">
      <c r="B25" s="228" t="s">
        <v>80</v>
      </c>
      <c r="C25" s="225"/>
      <c r="D25" s="218">
        <f>BULLETIN!G12</f>
        <v>151.66999999999999</v>
      </c>
      <c r="E25" s="218">
        <f>BULLETIN!H12</f>
        <v>0</v>
      </c>
      <c r="F25" s="219"/>
      <c r="G25" s="218">
        <f>BULLETIN!I12</f>
        <v>0</v>
      </c>
      <c r="H25" s="225"/>
      <c r="I25" s="23"/>
      <c r="J25" s="25"/>
    </row>
    <row r="26" spans="2:10" ht="10.050000000000001" customHeight="1" x14ac:dyDescent="0.45">
      <c r="B26" s="228" t="str">
        <f>IF(BULLETIN!G13&gt;0,BULLETIN!B13,"")</f>
        <v/>
      </c>
      <c r="C26" s="225"/>
      <c r="D26" s="219" t="str">
        <f>IF(BULLETIN!G13&gt;0,BULLETIN!G13,"")</f>
        <v/>
      </c>
      <c r="E26" s="219" t="str">
        <f>IF(BULLETIN!G13&gt;0,BULLETIN!H13,"")</f>
        <v/>
      </c>
      <c r="F26" s="219"/>
      <c r="G26" s="218" t="str">
        <f>IF(BULLETIN!G13&gt;0,BULLETIN!I13,"")</f>
        <v/>
      </c>
      <c r="H26" s="225"/>
      <c r="I26" s="23"/>
      <c r="J26" s="25"/>
    </row>
    <row r="27" spans="2:10" ht="10.050000000000001" customHeight="1" x14ac:dyDescent="0.45">
      <c r="B27" s="228" t="str">
        <f>IF(BULLETIN!G14&gt;0,BULLETIN!B14,"")</f>
        <v/>
      </c>
      <c r="C27" s="225"/>
      <c r="D27" s="218" t="str">
        <f>IF(BULLETIN!G14&gt;0,BULLETIN!G14,"")</f>
        <v/>
      </c>
      <c r="E27" s="218" t="str">
        <f>IF(BULLETIN!G14&gt;0,BULLETIN!H14,"")</f>
        <v/>
      </c>
      <c r="F27" s="219"/>
      <c r="G27" s="218" t="str">
        <f>IF(BULLETIN!G14&gt;0,BULLETIN!I14,"")</f>
        <v/>
      </c>
      <c r="H27" s="225"/>
      <c r="I27" s="23"/>
      <c r="J27" s="25"/>
    </row>
    <row r="28" spans="2:10" ht="10.050000000000001" customHeight="1" x14ac:dyDescent="0.45">
      <c r="B28" s="228" t="str">
        <f>IF(BULLETIN!G15&gt;0,BULLETIN!B15,"")</f>
        <v/>
      </c>
      <c r="C28" s="225"/>
      <c r="D28" s="218" t="str">
        <f>IF(BULLETIN!G15&gt;0,BULLETIN!G15,"")</f>
        <v/>
      </c>
      <c r="E28" s="218" t="str">
        <f>IF(BULLETIN!G15&gt;0,BULLETIN!H15,"")</f>
        <v/>
      </c>
      <c r="F28" s="219"/>
      <c r="G28" s="218" t="str">
        <f>IF(BULLETIN!G15&gt;0,BULLETIN!I15,"")</f>
        <v/>
      </c>
      <c r="H28" s="225"/>
      <c r="I28" s="23"/>
      <c r="J28" s="25"/>
    </row>
    <row r="29" spans="2:10" ht="10.050000000000001" customHeight="1" x14ac:dyDescent="0.45">
      <c r="B29" s="228" t="str">
        <f>IF(BULLETIN!I17=0,"",BULLETIN!B17)</f>
        <v/>
      </c>
      <c r="C29" s="225"/>
      <c r="D29" s="218" t="str">
        <f>IF(BULLETIN!I17=0,"",BULLETIN!G17)</f>
        <v/>
      </c>
      <c r="E29" s="218" t="str">
        <f>IF(BULLETIN!I17=0,"",BULLETIN!H17)</f>
        <v/>
      </c>
      <c r="F29" s="218" t="str">
        <f>IF(G29&gt;0,"",-G29)</f>
        <v/>
      </c>
      <c r="G29" s="218" t="str">
        <f>IF(BULLETIN!I17=0,"",BULLETIN!I17)</f>
        <v/>
      </c>
      <c r="H29" s="225"/>
      <c r="I29" s="23"/>
      <c r="J29" s="25"/>
    </row>
    <row r="30" spans="2:10" ht="10.050000000000001" customHeight="1" x14ac:dyDescent="0.45">
      <c r="B30" s="228" t="str">
        <f>IF(BULLETIN!I18=0,"",BULLETIN!B18)</f>
        <v/>
      </c>
      <c r="C30" s="225"/>
      <c r="D30" s="218" t="str">
        <f>IF(BULLETIN!I18=0,"",BULLETIN!G18)</f>
        <v/>
      </c>
      <c r="E30" s="218" t="str">
        <f>IF(BULLETIN!I18=0,"",BULLETIN!H18)</f>
        <v/>
      </c>
      <c r="F30" s="219" t="str">
        <f t="shared" ref="F30:F34" si="0">IF(G30&gt;0,"",-G30)</f>
        <v/>
      </c>
      <c r="G30" s="218" t="str">
        <f>IF(BULLETIN!I18=0,"",BULLETIN!I18)</f>
        <v/>
      </c>
      <c r="H30" s="225"/>
      <c r="I30" s="23"/>
      <c r="J30" s="25"/>
    </row>
    <row r="31" spans="2:10" ht="10.050000000000001" customHeight="1" x14ac:dyDescent="0.45">
      <c r="B31" s="228" t="str">
        <f>IF(BULLETIN!I19=0,"",BULLETIN!B19)</f>
        <v/>
      </c>
      <c r="C31" s="225"/>
      <c r="D31" s="218" t="str">
        <f>IF(BULLETIN!I19=0,"",BULLETIN!G19)</f>
        <v/>
      </c>
      <c r="E31" s="218" t="str">
        <f>IF(BULLETIN!I19=0,"",BULLETIN!H19)</f>
        <v/>
      </c>
      <c r="F31" s="218" t="str">
        <f t="shared" si="0"/>
        <v/>
      </c>
      <c r="G31" s="218" t="str">
        <f>IF(BULLETIN!I19=0,"",BULLETIN!I19)</f>
        <v/>
      </c>
      <c r="H31" s="225"/>
      <c r="I31" s="23"/>
      <c r="J31" s="25"/>
    </row>
    <row r="32" spans="2:10" ht="10.050000000000001" customHeight="1" x14ac:dyDescent="0.45">
      <c r="B32" s="228" t="str">
        <f>IF(BULLETIN!I20=0,"",BULLETIN!B20)</f>
        <v/>
      </c>
      <c r="C32" s="225"/>
      <c r="D32" s="218" t="str">
        <f>IF(BULLETIN!I20=0,"",BULLETIN!G20)</f>
        <v/>
      </c>
      <c r="E32" s="218" t="str">
        <f>IF(BULLETIN!I20=0,"",BULLETIN!H20)</f>
        <v/>
      </c>
      <c r="F32" s="218" t="str">
        <f t="shared" si="0"/>
        <v/>
      </c>
      <c r="G32" s="218" t="str">
        <f>IF(BULLETIN!I20=0,"",BULLETIN!I20)</f>
        <v/>
      </c>
      <c r="H32" s="225"/>
      <c r="I32" s="23"/>
      <c r="J32" s="25"/>
    </row>
    <row r="33" spans="2:10" ht="10.050000000000001" customHeight="1" x14ac:dyDescent="0.45">
      <c r="B33" s="228" t="str">
        <f>IF(BULLETIN!I21=0,"",BULLETIN!B21)</f>
        <v/>
      </c>
      <c r="C33" s="225"/>
      <c r="D33" s="218" t="str">
        <f>IF(BULLETIN!I21=0,"",BULLETIN!G21)</f>
        <v/>
      </c>
      <c r="E33" s="218" t="str">
        <f>IF(BULLETIN!I21=0,"",BULLETIN!H21)</f>
        <v/>
      </c>
      <c r="F33" s="219" t="str">
        <f t="shared" si="0"/>
        <v/>
      </c>
      <c r="G33" s="218" t="str">
        <f>IF(BULLETIN!I21=0,"",BULLETIN!I21)</f>
        <v/>
      </c>
      <c r="H33" s="225"/>
      <c r="I33" s="23"/>
      <c r="J33" s="25"/>
    </row>
    <row r="34" spans="2:10" ht="10.050000000000001" customHeight="1" x14ac:dyDescent="0.45">
      <c r="B34" s="228" t="str">
        <f>IF(BULLETIN!I22=0,"",BULLETIN!B22)</f>
        <v/>
      </c>
      <c r="C34" s="225"/>
      <c r="D34" s="218" t="str">
        <f>IF(BULLETIN!I22=0,"",BULLETIN!G22)</f>
        <v/>
      </c>
      <c r="E34" s="218" t="str">
        <f>IF(BULLETIN!I22=0,"",BULLETIN!H22)</f>
        <v/>
      </c>
      <c r="F34" s="219" t="str">
        <f t="shared" si="0"/>
        <v/>
      </c>
      <c r="G34" s="218" t="str">
        <f>IF(BULLETIN!I22=0,"",BULLETIN!I22)</f>
        <v/>
      </c>
      <c r="H34" s="225"/>
      <c r="I34" s="23"/>
      <c r="J34" s="25"/>
    </row>
    <row r="35" spans="2:10" ht="10.050000000000001" customHeight="1" x14ac:dyDescent="0.45">
      <c r="B35" s="229" t="s">
        <v>285</v>
      </c>
      <c r="C35" s="225"/>
      <c r="D35" s="219"/>
      <c r="E35" s="219"/>
      <c r="F35" s="219"/>
      <c r="G35" s="238">
        <f>BULLETIN!I29</f>
        <v>0</v>
      </c>
      <c r="H35" s="225"/>
      <c r="I35" s="23"/>
      <c r="J35" s="25"/>
    </row>
    <row r="36" spans="2:10" ht="2.65" customHeight="1" x14ac:dyDescent="0.45">
      <c r="B36" s="228"/>
      <c r="C36" s="225"/>
      <c r="D36" s="219"/>
      <c r="E36" s="219"/>
      <c r="F36" s="219"/>
      <c r="G36" s="218"/>
      <c r="H36" s="225"/>
      <c r="I36" s="23"/>
      <c r="J36" s="25"/>
    </row>
    <row r="37" spans="2:10" ht="10.050000000000001" customHeight="1" x14ac:dyDescent="0.45">
      <c r="B37" s="229" t="s">
        <v>430</v>
      </c>
      <c r="C37" s="225"/>
      <c r="D37" s="219"/>
      <c r="E37" s="219"/>
      <c r="F37" s="219"/>
      <c r="G37" s="218"/>
      <c r="H37" s="239">
        <f>BULLETIN!E33</f>
        <v>0</v>
      </c>
      <c r="I37" s="386">
        <f>BULLETIN!H33</f>
        <v>0.13</v>
      </c>
      <c r="J37" s="316">
        <f>BULLETIN!I33</f>
        <v>0</v>
      </c>
    </row>
    <row r="38" spans="2:10" ht="10.050000000000001" customHeight="1" x14ac:dyDescent="0.45">
      <c r="B38" s="228" t="s">
        <v>431</v>
      </c>
      <c r="C38" s="225"/>
      <c r="D38" s="218"/>
      <c r="E38" s="220"/>
      <c r="F38" s="218">
        <f>BULLETIN!G67+BULLETIN!G68+BULLETIN!G70</f>
        <v>0</v>
      </c>
      <c r="G38" s="219"/>
      <c r="H38" s="239"/>
      <c r="I38" s="248"/>
      <c r="J38" s="316">
        <f>BULLETIN!I55+BULLETIN!I67+BULLETIN!I68+BULLETIN!I70</f>
        <v>0</v>
      </c>
    </row>
    <row r="39" spans="2:10" ht="10.050000000000001" customHeight="1" x14ac:dyDescent="0.45">
      <c r="B39" s="228" t="s">
        <v>432</v>
      </c>
      <c r="C39" s="225"/>
      <c r="D39" s="219"/>
      <c r="E39" s="220"/>
      <c r="F39" s="218">
        <f>BULLETIN!G69</f>
        <v>0</v>
      </c>
      <c r="G39" s="219"/>
      <c r="H39" s="239"/>
      <c r="I39" s="248"/>
      <c r="J39" s="316">
        <f>BULLETIN!I69</f>
        <v>0</v>
      </c>
    </row>
    <row r="40" spans="2:10" ht="0.4" customHeight="1" x14ac:dyDescent="0.45">
      <c r="B40" s="228"/>
      <c r="C40" s="225"/>
      <c r="D40" s="219"/>
      <c r="E40" s="220"/>
      <c r="F40" s="218"/>
      <c r="G40" s="219"/>
      <c r="H40" s="239"/>
      <c r="I40" s="248"/>
      <c r="J40" s="247"/>
    </row>
    <row r="41" spans="2:10" ht="10.050000000000001" customHeight="1" x14ac:dyDescent="0.45">
      <c r="B41" s="229" t="s">
        <v>433</v>
      </c>
      <c r="C41" s="225"/>
      <c r="D41" s="218"/>
      <c r="E41" s="221"/>
      <c r="F41" s="218"/>
      <c r="G41" s="219"/>
      <c r="H41" s="239">
        <f>BULLETIN!E35</f>
        <v>0</v>
      </c>
      <c r="I41" s="318">
        <f>BULLETIN!H35</f>
        <v>0.01</v>
      </c>
      <c r="J41" s="316">
        <f>BULLETIN!I35</f>
        <v>0</v>
      </c>
    </row>
    <row r="42" spans="2:10" ht="2.25" customHeight="1" x14ac:dyDescent="0.45">
      <c r="B42" s="228"/>
      <c r="C42" s="225"/>
      <c r="D42" s="219"/>
      <c r="E42" s="220"/>
      <c r="F42" s="218"/>
      <c r="G42" s="219"/>
      <c r="H42" s="239"/>
      <c r="I42" s="248"/>
      <c r="J42" s="247"/>
    </row>
    <row r="43" spans="2:10" ht="10.050000000000001" customHeight="1" x14ac:dyDescent="0.45">
      <c r="B43" s="229" t="s">
        <v>434</v>
      </c>
      <c r="C43" s="225"/>
      <c r="D43" s="219"/>
      <c r="E43" s="220"/>
      <c r="F43" s="218"/>
      <c r="G43" s="219"/>
      <c r="H43" s="239"/>
      <c r="I43" s="248"/>
      <c r="J43" s="247"/>
    </row>
    <row r="44" spans="2:10" ht="10.050000000000001" customHeight="1" x14ac:dyDescent="0.45">
      <c r="B44" s="228" t="s">
        <v>435</v>
      </c>
      <c r="C44" s="225"/>
      <c r="D44" s="218">
        <f>BULLETIN!E40</f>
        <v>0</v>
      </c>
      <c r="E44" s="220">
        <f>BULLETIN!F40</f>
        <v>6.9000000000000006E-2</v>
      </c>
      <c r="F44" s="218">
        <f>BULLETIN!G40</f>
        <v>0</v>
      </c>
      <c r="G44" s="219"/>
      <c r="H44" s="239">
        <f>D44</f>
        <v>0</v>
      </c>
      <c r="I44" s="318">
        <f>BULLETIN!H40</f>
        <v>8.5500000000000007E-2</v>
      </c>
      <c r="J44" s="316">
        <f>BULLETIN!I40</f>
        <v>0</v>
      </c>
    </row>
    <row r="45" spans="2:10" ht="10.050000000000001" customHeight="1" x14ac:dyDescent="0.45">
      <c r="B45" s="228" t="s">
        <v>436</v>
      </c>
      <c r="C45" s="225"/>
      <c r="D45" s="218">
        <f>BULLETIN!E39</f>
        <v>0</v>
      </c>
      <c r="E45" s="220">
        <f>BULLETIN!F39</f>
        <v>4.0000000000000001E-3</v>
      </c>
      <c r="F45" s="218">
        <f>BULLETIN!G39</f>
        <v>0</v>
      </c>
      <c r="G45" s="219"/>
      <c r="H45" s="239">
        <f>D45</f>
        <v>0</v>
      </c>
      <c r="I45" s="318">
        <f>BULLETIN!H39</f>
        <v>2.1100000000000001E-2</v>
      </c>
      <c r="J45" s="316">
        <f>BULLETIN!I39</f>
        <v>0</v>
      </c>
    </row>
    <row r="46" spans="2:10" ht="10.050000000000001" customHeight="1" x14ac:dyDescent="0.45">
      <c r="B46" s="228" t="s">
        <v>437</v>
      </c>
      <c r="C46" s="225"/>
      <c r="D46" s="218">
        <f>BULLETIN!E62</f>
        <v>0</v>
      </c>
      <c r="E46" s="220">
        <f>BULLETIN!F62+BULLETIN!F65</f>
        <v>4.0099999999999997E-2</v>
      </c>
      <c r="F46" s="218">
        <f>BULLETIN!G62+BULLETIN!G65</f>
        <v>0</v>
      </c>
      <c r="G46" s="219"/>
      <c r="H46" s="239">
        <f>Simplifié!D46</f>
        <v>0</v>
      </c>
      <c r="I46" s="318">
        <f>BULLETIN!H62+BULLETIN!H65</f>
        <v>6.0100000000000001E-2</v>
      </c>
      <c r="J46" s="316">
        <f>BULLETIN!I62+BULLETIN!I65</f>
        <v>0</v>
      </c>
    </row>
    <row r="47" spans="2:10" ht="10.050000000000001" customHeight="1" x14ac:dyDescent="0.45">
      <c r="B47" s="228" t="s">
        <v>438</v>
      </c>
      <c r="C47" s="225"/>
      <c r="D47" s="218">
        <f>BULLETIN!E63</f>
        <v>0</v>
      </c>
      <c r="E47" s="220">
        <f>BULLETIN!F63+BULLETIN!F66</f>
        <v>9.7200000000000009E-2</v>
      </c>
      <c r="F47" s="218">
        <f>BULLETIN!G63+BULLETIN!G66</f>
        <v>0</v>
      </c>
      <c r="G47" s="219"/>
      <c r="H47" s="239">
        <f>D47</f>
        <v>0</v>
      </c>
      <c r="I47" s="315">
        <f>BULLETIN!H63+BULLETIN!H66</f>
        <v>0.1457</v>
      </c>
      <c r="J47" s="316">
        <f>BULLETIN!I63+BULLETIN!I66</f>
        <v>0</v>
      </c>
    </row>
    <row r="48" spans="2:10" ht="9.75" customHeight="1" x14ac:dyDescent="0.45">
      <c r="B48" s="228" t="s">
        <v>457</v>
      </c>
      <c r="C48" s="225"/>
      <c r="D48" s="218">
        <f>BULLETIN!E64</f>
        <v>0</v>
      </c>
      <c r="E48" s="220">
        <f>BULLETIN!F64</f>
        <v>1.4E-3</v>
      </c>
      <c r="F48" s="218">
        <f>BULLETIN!G64</f>
        <v>0</v>
      </c>
      <c r="G48" s="219"/>
      <c r="H48" s="239">
        <f>D48</f>
        <v>0</v>
      </c>
      <c r="I48" s="315">
        <f>BULLETIN!H64</f>
        <v>2.0999999999999999E-3</v>
      </c>
      <c r="J48" s="316">
        <f>BULLETIN!I64</f>
        <v>0</v>
      </c>
    </row>
    <row r="49" spans="2:10" ht="10.050000000000001" customHeight="1" x14ac:dyDescent="0.45">
      <c r="B49" s="229" t="s">
        <v>439</v>
      </c>
      <c r="C49" s="225"/>
      <c r="D49" s="218"/>
      <c r="E49" s="220"/>
      <c r="F49" s="218"/>
      <c r="G49" s="219"/>
      <c r="H49" s="239">
        <f>BULLETIN!E37</f>
        <v>0</v>
      </c>
      <c r="I49" s="315">
        <f>BULLETIN!H37</f>
        <v>5.2499999999999998E-2</v>
      </c>
      <c r="J49" s="316">
        <f>BULLETIN!I37</f>
        <v>0</v>
      </c>
    </row>
    <row r="50" spans="2:10" ht="1.1499999999999999" customHeight="1" x14ac:dyDescent="0.45">
      <c r="B50" s="228"/>
      <c r="C50" s="225"/>
      <c r="D50" s="218"/>
      <c r="E50" s="220"/>
      <c r="F50" s="218"/>
      <c r="G50" s="219"/>
      <c r="H50" s="239"/>
      <c r="I50" s="248"/>
      <c r="J50" s="247"/>
    </row>
    <row r="51" spans="2:10" ht="9.4" customHeight="1" x14ac:dyDescent="0.45">
      <c r="B51" s="229" t="s">
        <v>440</v>
      </c>
      <c r="C51" s="225"/>
      <c r="D51" s="218"/>
      <c r="E51" s="220"/>
      <c r="F51" s="218"/>
      <c r="G51" s="219"/>
      <c r="H51" s="239">
        <f>BULLETIN!E50</f>
        <v>0</v>
      </c>
      <c r="I51" s="315">
        <f>BULLETIN!H50+BULLETIN!H51</f>
        <v>4.2500000000000003E-2</v>
      </c>
      <c r="J51" s="316">
        <f>BULLETIN!I50+BULLETIN!I51</f>
        <v>0</v>
      </c>
    </row>
    <row r="52" spans="2:10" ht="2.65" hidden="1" customHeight="1" x14ac:dyDescent="0.45">
      <c r="B52" s="228"/>
      <c r="C52" s="225"/>
      <c r="D52" s="218"/>
      <c r="E52" s="220"/>
      <c r="F52" s="218"/>
      <c r="G52" s="219"/>
      <c r="H52" s="239"/>
      <c r="I52" s="248"/>
      <c r="J52" s="247"/>
    </row>
    <row r="53" spans="2:10" ht="3.75" hidden="1" customHeight="1" x14ac:dyDescent="0.45">
      <c r="B53" s="228"/>
      <c r="C53" s="225"/>
      <c r="D53" s="218"/>
      <c r="E53" s="220"/>
      <c r="F53" s="218"/>
      <c r="G53" s="219"/>
      <c r="H53" s="239"/>
      <c r="I53" s="248"/>
      <c r="J53" s="247"/>
    </row>
    <row r="54" spans="2:10" ht="10.25" customHeight="1" x14ac:dyDescent="0.45">
      <c r="B54" s="228" t="s">
        <v>458</v>
      </c>
      <c r="C54" s="225"/>
      <c r="D54" s="218">
        <f>BULLETIN!E54</f>
        <v>0</v>
      </c>
      <c r="E54" s="220">
        <f>BULLETIN!F54</f>
        <v>2.4000000000000001E-4</v>
      </c>
      <c r="F54" s="218">
        <f>BULLETIN!G54</f>
        <v>0</v>
      </c>
      <c r="G54" s="219"/>
      <c r="H54" s="239"/>
      <c r="I54" s="248"/>
      <c r="J54" s="247"/>
    </row>
    <row r="55" spans="2:10" ht="10.050000000000001" customHeight="1" x14ac:dyDescent="0.45">
      <c r="B55" s="229" t="s">
        <v>441</v>
      </c>
      <c r="C55" s="225"/>
      <c r="D55" s="218"/>
      <c r="E55" s="220"/>
      <c r="F55" s="218"/>
      <c r="G55" s="219"/>
      <c r="H55" s="239"/>
      <c r="I55" s="248"/>
      <c r="J55" s="316">
        <f>BULLETIN!I34+BULLETIN!I36+BULLETIN!I38+BULLETIN!I42+BULLETIN!I43+BULLETIN!I57+BULLETIN!I58+BULLETIN!I59+BULLETIN!I60+BULLETIN!I54</f>
        <v>0</v>
      </c>
    </row>
    <row r="56" spans="2:10" ht="10.050000000000001" customHeight="1" x14ac:dyDescent="0.45">
      <c r="B56" s="229" t="s">
        <v>442</v>
      </c>
      <c r="C56" s="225"/>
      <c r="D56" s="219"/>
      <c r="E56" s="220"/>
      <c r="F56" s="218"/>
      <c r="G56" s="219"/>
      <c r="H56" s="239"/>
      <c r="I56" s="248"/>
      <c r="J56" s="247"/>
    </row>
    <row r="57" spans="2:10" ht="10.050000000000001" customHeight="1" x14ac:dyDescent="0.45">
      <c r="B57" s="229" t="s">
        <v>504</v>
      </c>
      <c r="C57" s="225"/>
      <c r="D57" s="218">
        <f>BULLETIN!E41</f>
        <v>0</v>
      </c>
      <c r="E57" s="220">
        <f>BULLETIN!F41</f>
        <v>6.8000000000000005E-2</v>
      </c>
      <c r="F57" s="218">
        <f>BULLETIN!G41</f>
        <v>0</v>
      </c>
      <c r="G57" s="219"/>
      <c r="H57" s="239"/>
      <c r="I57" s="248"/>
      <c r="J57" s="247"/>
    </row>
    <row r="58" spans="2:10" ht="10.050000000000001" customHeight="1" x14ac:dyDescent="0.45">
      <c r="B58" s="237" t="s">
        <v>449</v>
      </c>
      <c r="C58" s="225"/>
      <c r="D58" s="218">
        <f>BULLETIN!E74</f>
        <v>0</v>
      </c>
      <c r="E58" s="220">
        <f>BULLETIN!H74+BULLETIN!H75</f>
        <v>2.9000000000000001E-2</v>
      </c>
      <c r="F58" s="218">
        <f>BULLETIN!I74+BULLETIN!I75</f>
        <v>0</v>
      </c>
      <c r="G58" s="219"/>
      <c r="H58" s="239"/>
      <c r="I58" s="248"/>
      <c r="J58" s="247"/>
    </row>
    <row r="59" spans="2:10" ht="10.050000000000001" customHeight="1" x14ac:dyDescent="0.45">
      <c r="B59" s="237" t="str">
        <f>IF(BULLETIN!I76&gt;0,"CSG/CRDS sur HS/HC","")</f>
        <v/>
      </c>
      <c r="C59" s="225"/>
      <c r="D59" s="218" t="str">
        <f>IF(BULLETIN!I76&gt;0,BULLETIN!E76,"")</f>
        <v/>
      </c>
      <c r="E59" s="220" t="str">
        <f>IF(BULLETIN!I76&gt;0,BULLETIN!H76,"")</f>
        <v/>
      </c>
      <c r="F59" s="218" t="str">
        <f>IF(BULLETIN!I76&gt;0,BULLETIN!I76,"")</f>
        <v/>
      </c>
      <c r="G59" s="219"/>
      <c r="H59" s="263"/>
      <c r="I59" s="248"/>
      <c r="J59" s="247"/>
    </row>
    <row r="60" spans="2:10" ht="10.050000000000001" customHeight="1" x14ac:dyDescent="0.45">
      <c r="B60" s="268" t="s">
        <v>453</v>
      </c>
      <c r="C60" s="269"/>
      <c r="D60" s="475"/>
      <c r="E60" s="476"/>
      <c r="F60" s="345">
        <f>BULLETIN!G72</f>
        <v>0</v>
      </c>
      <c r="G60" s="346"/>
      <c r="H60" s="90"/>
      <c r="I60" s="270"/>
      <c r="J60" s="347">
        <f>BULLETIN!I72</f>
        <v>0</v>
      </c>
    </row>
    <row r="61" spans="2:10" ht="10.050000000000001" customHeight="1" x14ac:dyDescent="0.45">
      <c r="B61" s="229" t="s">
        <v>450</v>
      </c>
      <c r="C61" s="225"/>
      <c r="D61" s="219"/>
      <c r="E61" s="220"/>
      <c r="F61" s="218"/>
      <c r="G61" s="219"/>
      <c r="H61" s="239"/>
      <c r="I61" s="248"/>
      <c r="J61" s="316">
        <f>BULLETIN!I44+BULLETIN!I48</f>
        <v>0</v>
      </c>
    </row>
    <row r="62" spans="2:10" ht="10.050000000000001" customHeight="1" x14ac:dyDescent="0.45">
      <c r="B62" s="235" t="s">
        <v>451</v>
      </c>
      <c r="C62" s="265"/>
      <c r="D62" s="266">
        <f>BULLETIN!E47</f>
        <v>0</v>
      </c>
      <c r="E62" s="348">
        <f>BULLETIN!F47</f>
        <v>0.11310000000000001</v>
      </c>
      <c r="F62" s="359"/>
      <c r="G62" s="266">
        <f>BULLETIN!G47</f>
        <v>0</v>
      </c>
      <c r="H62" s="263"/>
      <c r="I62" s="249"/>
      <c r="J62" s="250"/>
    </row>
    <row r="63" spans="2:10" ht="10.050000000000001" customHeight="1" x14ac:dyDescent="0.45">
      <c r="B63" s="229" t="s">
        <v>500</v>
      </c>
      <c r="C63" s="352"/>
      <c r="D63" s="317"/>
      <c r="E63" s="350"/>
      <c r="F63" s="264"/>
      <c r="G63" s="219"/>
      <c r="H63" s="239"/>
      <c r="I63" s="248"/>
      <c r="J63" s="247"/>
    </row>
    <row r="64" spans="2:10" ht="10.050000000000001" customHeight="1" x14ac:dyDescent="0.45">
      <c r="B64" s="228" t="s">
        <v>501</v>
      </c>
      <c r="C64" s="240"/>
      <c r="D64" s="218"/>
      <c r="E64" s="350"/>
      <c r="F64" s="264"/>
      <c r="G64" s="219"/>
      <c r="H64" s="239"/>
      <c r="I64" s="248"/>
      <c r="J64" s="247"/>
    </row>
    <row r="65" spans="2:10" ht="10.050000000000001" customHeight="1" x14ac:dyDescent="0.45">
      <c r="B65" s="235" t="s">
        <v>502</v>
      </c>
      <c r="C65" s="241"/>
      <c r="D65" s="266"/>
      <c r="E65" s="351"/>
      <c r="F65" s="349"/>
      <c r="G65" s="242"/>
      <c r="H65" s="273"/>
      <c r="I65" s="249"/>
      <c r="J65" s="250"/>
    </row>
    <row r="66" spans="2:10" ht="10.050000000000001" customHeight="1" x14ac:dyDescent="0.45">
      <c r="B66" s="268" t="s">
        <v>454</v>
      </c>
      <c r="C66" s="269"/>
      <c r="D66" s="344"/>
      <c r="E66" s="353"/>
      <c r="F66" s="90"/>
      <c r="G66" s="344">
        <f>BULLETIN!H78</f>
        <v>0</v>
      </c>
      <c r="H66" s="90"/>
      <c r="I66" s="270"/>
      <c r="J66" s="271"/>
    </row>
    <row r="67" spans="2:10" ht="10.050000000000001" customHeight="1" x14ac:dyDescent="0.45">
      <c r="B67" s="229" t="s">
        <v>503</v>
      </c>
      <c r="C67" s="225"/>
      <c r="D67" s="239"/>
      <c r="E67" s="350"/>
      <c r="F67" s="264"/>
      <c r="G67" s="219"/>
      <c r="H67" s="239"/>
      <c r="I67" s="248"/>
      <c r="J67" s="247"/>
    </row>
    <row r="68" spans="2:10" ht="10.050000000000001" customHeight="1" x14ac:dyDescent="0.45">
      <c r="B68" s="229" t="str">
        <f>IF(BULLETIN!I81=0,"",BULLETIN!B81)</f>
        <v/>
      </c>
      <c r="C68" s="225"/>
      <c r="D68" s="239" t="str">
        <f>IF(BULLETIN!I81=0,"",BULLETIN!G81)</f>
        <v/>
      </c>
      <c r="E68" s="264" t="str">
        <f>IF(BULLETIN!I81=0,"",BULLETIN!H81)</f>
        <v/>
      </c>
      <c r="F68" s="264"/>
      <c r="G68" s="218" t="str">
        <f>IF(BULLETIN!I81=0,"",BULLETIN!I81)</f>
        <v/>
      </c>
      <c r="H68" s="239"/>
      <c r="I68" s="248"/>
      <c r="J68" s="247"/>
    </row>
    <row r="69" spans="2:10" ht="10.050000000000001" customHeight="1" x14ac:dyDescent="0.45">
      <c r="B69" s="229" t="str">
        <f>IF(BULLETIN!I82=0,"",BULLETIN!B82)</f>
        <v/>
      </c>
      <c r="C69" s="225"/>
      <c r="D69" s="239" t="str">
        <f>IF(BULLETIN!I82=0,"",BULLETIN!G82)</f>
        <v/>
      </c>
      <c r="E69" s="264" t="str">
        <f>IF(BULLETIN!I82=0,"",BULLETIN!H82)</f>
        <v/>
      </c>
      <c r="F69" s="264"/>
      <c r="G69" s="218" t="str">
        <f>IF(BULLETIN!I82=0,"",BULLETIN!I82)</f>
        <v/>
      </c>
      <c r="H69" s="239"/>
      <c r="I69" s="248"/>
      <c r="J69" s="247"/>
    </row>
    <row r="70" spans="2:10" ht="10.050000000000001" customHeight="1" x14ac:dyDescent="0.45">
      <c r="B70" s="229" t="str">
        <f>IF(BULLETIN!I83=0,"",BULLETIN!B83)</f>
        <v/>
      </c>
      <c r="C70" s="225"/>
      <c r="D70" s="239" t="str">
        <f>IF(BULLETIN!I83=0,"",BULLETIN!G83)</f>
        <v/>
      </c>
      <c r="E70" s="264" t="str">
        <f>IF(BULLETIN!I83=0,"",BULLETIN!H83)</f>
        <v/>
      </c>
      <c r="F70" s="264"/>
      <c r="G70" s="218" t="str">
        <f>IF(BULLETIN!I83=0,"",BULLETIN!I83)</f>
        <v/>
      </c>
      <c r="H70" s="239"/>
      <c r="I70" s="248"/>
      <c r="J70" s="247"/>
    </row>
    <row r="71" spans="2:10" ht="10.050000000000001" customHeight="1" x14ac:dyDescent="0.45">
      <c r="B71" s="229" t="str">
        <f>IF(BULLETIN!I84=0,"",BULLETIN!B84)</f>
        <v/>
      </c>
      <c r="C71" s="225"/>
      <c r="D71" s="239" t="str">
        <f>IF(BULLETIN!I84=0,"",BULLETIN!G84)</f>
        <v/>
      </c>
      <c r="E71" s="264" t="str">
        <f>IF(BULLETIN!I84=0,"",BULLETIN!H84)</f>
        <v/>
      </c>
      <c r="F71" s="264"/>
      <c r="G71" s="218" t="str">
        <f>IF(BULLETIN!I84=0,"",BULLETIN!I84)</f>
        <v/>
      </c>
      <c r="H71" s="239"/>
      <c r="I71" s="248"/>
      <c r="J71" s="247"/>
    </row>
    <row r="72" spans="2:10" ht="10.050000000000001" customHeight="1" x14ac:dyDescent="0.45">
      <c r="B72" s="272" t="str">
        <f>IF(BULLETIN!I85=0,"",BULLETIN!B85)</f>
        <v/>
      </c>
      <c r="C72" s="265"/>
      <c r="D72" s="273" t="str">
        <f>IF(BULLETIN!I85=0,"",BULLETIN!G85)</f>
        <v/>
      </c>
      <c r="E72" s="349" t="str">
        <f>IF(BULLETIN!I85=0,"",BULLETIN!H85)</f>
        <v/>
      </c>
      <c r="F72" s="266"/>
      <c r="G72" s="266" t="str">
        <f>IF(BULLETIN!I85=0,"",BULLETIN!I85)</f>
        <v/>
      </c>
      <c r="H72" s="273"/>
      <c r="I72" s="249"/>
      <c r="J72" s="250"/>
    </row>
    <row r="73" spans="2:10" ht="10.050000000000001" customHeight="1" x14ac:dyDescent="0.45">
      <c r="B73" s="228" t="s">
        <v>452</v>
      </c>
      <c r="C73" s="225"/>
      <c r="D73" s="225"/>
      <c r="E73" s="352"/>
      <c r="F73" s="317">
        <f>F39</f>
        <v>0</v>
      </c>
      <c r="G73" s="354"/>
      <c r="H73" s="485"/>
      <c r="I73" s="486"/>
      <c r="J73" s="487"/>
    </row>
    <row r="74" spans="2:10" ht="11.25" customHeight="1" x14ac:dyDescent="0.45">
      <c r="B74" s="230" t="s">
        <v>443</v>
      </c>
      <c r="C74" s="225"/>
      <c r="D74" s="225"/>
      <c r="E74" s="240"/>
      <c r="F74" s="219"/>
      <c r="G74" s="219"/>
      <c r="H74" s="23"/>
      <c r="I74" s="248"/>
      <c r="J74" s="360">
        <f>BULLETIN!I29-BULLETIN!G72+SUM(BULLETIN!I79:I88)</f>
        <v>0</v>
      </c>
    </row>
    <row r="75" spans="2:10" ht="2.65" hidden="1" customHeight="1" x14ac:dyDescent="0.45">
      <c r="B75" s="231"/>
      <c r="C75" s="225"/>
      <c r="D75" s="225"/>
      <c r="E75" s="240"/>
      <c r="F75" s="219"/>
      <c r="G75" s="219"/>
      <c r="H75" s="239"/>
      <c r="I75" s="248"/>
      <c r="J75" s="247"/>
    </row>
    <row r="76" spans="2:10" ht="14.25" hidden="1" customHeight="1" x14ac:dyDescent="0.45">
      <c r="B76" s="229"/>
      <c r="C76" s="225"/>
      <c r="D76" s="225"/>
      <c r="E76" s="240"/>
      <c r="F76" s="219"/>
      <c r="G76" s="219"/>
      <c r="H76" s="239"/>
      <c r="I76" s="248"/>
      <c r="J76" s="247"/>
    </row>
    <row r="77" spans="2:10" ht="10.15" customHeight="1" x14ac:dyDescent="0.45">
      <c r="B77" s="228" t="s">
        <v>505</v>
      </c>
      <c r="C77" s="225"/>
      <c r="D77" s="225"/>
      <c r="E77" s="240"/>
      <c r="F77" s="219"/>
      <c r="G77" s="355"/>
      <c r="H77" s="23"/>
      <c r="I77" s="248"/>
      <c r="J77" s="264">
        <f>BULLETIN!I73</f>
        <v>0</v>
      </c>
    </row>
    <row r="78" spans="2:10" ht="10.15" customHeight="1" x14ac:dyDescent="0.45">
      <c r="B78" s="228" t="s">
        <v>506</v>
      </c>
      <c r="C78" s="225"/>
      <c r="D78" s="225"/>
      <c r="E78" s="240"/>
      <c r="F78" s="219"/>
      <c r="G78" s="355"/>
      <c r="H78" s="23"/>
      <c r="I78" s="248"/>
      <c r="J78" s="264">
        <f>BULLETIN!J13-(BULLETIN!J13*98.25%*6.8%)</f>
        <v>0</v>
      </c>
    </row>
    <row r="79" spans="2:10" ht="10.15" customHeight="1" x14ac:dyDescent="0.45">
      <c r="B79" s="272" t="s">
        <v>507</v>
      </c>
      <c r="C79" s="265"/>
      <c r="D79" s="265"/>
      <c r="E79" s="241"/>
      <c r="F79" s="242"/>
      <c r="G79" s="334">
        <f>BULLETIN!H89</f>
        <v>0</v>
      </c>
      <c r="H79" s="68"/>
      <c r="I79" s="249"/>
      <c r="J79" s="349">
        <f>BULLETIN!I89</f>
        <v>0</v>
      </c>
    </row>
    <row r="80" spans="2:10" hidden="1" x14ac:dyDescent="0.45">
      <c r="B80" s="229"/>
      <c r="C80" s="225"/>
      <c r="D80" s="225"/>
      <c r="E80" s="225"/>
      <c r="F80" s="225"/>
      <c r="G80" s="225"/>
      <c r="H80" s="239"/>
      <c r="I80" s="23"/>
      <c r="J80" s="25"/>
    </row>
    <row r="81" spans="2:10" ht="12.4" customHeight="1" x14ac:dyDescent="0.45">
      <c r="B81" s="232"/>
      <c r="C81" s="225"/>
      <c r="D81" s="225"/>
      <c r="E81" s="225"/>
      <c r="F81" s="233" t="s">
        <v>444</v>
      </c>
      <c r="G81" s="225"/>
      <c r="H81" s="482">
        <f>BULLETIN!I90</f>
        <v>0</v>
      </c>
      <c r="I81" s="483"/>
      <c r="J81" s="484"/>
    </row>
    <row r="82" spans="2:10" ht="10.050000000000001" customHeight="1" x14ac:dyDescent="0.45">
      <c r="B82" s="214"/>
      <c r="C82" s="215" t="s">
        <v>321</v>
      </c>
      <c r="D82" s="215" t="s">
        <v>445</v>
      </c>
      <c r="E82" s="215" t="s">
        <v>455</v>
      </c>
      <c r="F82" s="215" t="s">
        <v>460</v>
      </c>
      <c r="G82" s="216" t="s">
        <v>456</v>
      </c>
      <c r="H82" s="479" t="s">
        <v>459</v>
      </c>
      <c r="I82" s="480"/>
      <c r="J82" s="480"/>
    </row>
    <row r="83" spans="2:10" ht="10.050000000000001" customHeight="1" x14ac:dyDescent="0.45">
      <c r="B83" s="222" t="s">
        <v>446</v>
      </c>
      <c r="C83" s="267">
        <f>BULLETIN!I29</f>
        <v>0</v>
      </c>
      <c r="D83" s="267">
        <f>BULLETIN!I73</f>
        <v>0</v>
      </c>
      <c r="E83" s="222">
        <f>BULLETIN!G12+BULLETIN!G13+BULLETIN!G14+BULLETIN!G15</f>
        <v>151.66999999999999</v>
      </c>
      <c r="F83" s="267">
        <f>BULLETIN!I72</f>
        <v>0</v>
      </c>
      <c r="G83" s="267">
        <f>IF(BULLETIN!M5="janvier",BULLETIN!P8,IF(BULLETIN!M5="février",BULLETIN!P9,IF(BULLETIN!M5="mars",BULLETIN!P10,IF(BULLETIN!M5="avril",BULLETIN!P11,IF(BULLETIN!M5="mai",BULLETIN!P12,IF(BULLETIN!M5="juin",BULLETIN!P13,IF(BULLETIN!M5="juillet",BULLETIN!P14,IF(BULLETIN!M5="août",BULLETIN!P15,IF(BULLETIN!M5="septembre",BULLETIN!P16,IF(BULLETIN!M5="octobre",BULLETIN!P17,IF(BULLETIN!M5="novembre",BULLETIN!P18,BULLETIN!P19)))))))))))</f>
        <v>4005</v>
      </c>
      <c r="H83" s="481">
        <f>BULLETIN!H91</f>
        <v>0</v>
      </c>
      <c r="I83" s="481"/>
      <c r="J83" s="481"/>
    </row>
    <row r="84" spans="2:10" ht="10.050000000000001" customHeight="1" x14ac:dyDescent="0.45">
      <c r="B84" s="222" t="s">
        <v>447</v>
      </c>
      <c r="C84" s="222"/>
      <c r="D84" s="222"/>
      <c r="E84" s="222"/>
      <c r="F84" s="222"/>
      <c r="G84" s="222"/>
      <c r="H84" s="481"/>
      <c r="I84" s="481"/>
      <c r="J84" s="481"/>
    </row>
    <row r="85" spans="2:10" ht="10.050000000000001" customHeight="1" x14ac:dyDescent="0.45">
      <c r="B85" s="403"/>
      <c r="C85" s="403" t="s">
        <v>575</v>
      </c>
      <c r="D85" s="403" t="s">
        <v>576</v>
      </c>
      <c r="E85" s="403"/>
      <c r="F85" s="403"/>
      <c r="G85" s="403"/>
      <c r="H85" s="404"/>
      <c r="I85" s="404"/>
      <c r="J85" s="404"/>
    </row>
    <row r="86" spans="2:10" ht="10.050000000000001" customHeight="1" x14ac:dyDescent="0.45">
      <c r="B86" s="222" t="s">
        <v>577</v>
      </c>
      <c r="C86" s="267"/>
      <c r="D86" s="267"/>
      <c r="E86" s="222"/>
      <c r="F86" s="222"/>
      <c r="G86" s="222"/>
      <c r="H86" s="402"/>
      <c r="I86" s="402"/>
      <c r="J86" s="402"/>
    </row>
    <row r="87" spans="2:10" ht="10.050000000000001" customHeight="1" x14ac:dyDescent="0.45">
      <c r="B87" s="222" t="s">
        <v>578</v>
      </c>
      <c r="C87" s="267"/>
      <c r="D87" s="267"/>
      <c r="E87" s="222"/>
      <c r="F87" s="222"/>
      <c r="G87" s="222"/>
      <c r="H87" s="402"/>
      <c r="I87" s="402"/>
      <c r="J87" s="402"/>
    </row>
    <row r="88" spans="2:10" ht="10.050000000000001" customHeight="1" x14ac:dyDescent="0.45">
      <c r="B88" s="222" t="s">
        <v>579</v>
      </c>
      <c r="C88" s="267"/>
      <c r="D88" s="267"/>
      <c r="E88" s="222"/>
      <c r="F88" s="222"/>
      <c r="G88" s="222"/>
      <c r="H88" s="402"/>
      <c r="I88" s="402"/>
      <c r="J88" s="402"/>
    </row>
    <row r="89" spans="2:10" ht="10.050000000000001" customHeight="1" x14ac:dyDescent="0.45">
      <c r="B89" s="234" t="s">
        <v>448</v>
      </c>
      <c r="C89" s="358"/>
      <c r="D89" s="358"/>
      <c r="E89" s="358"/>
      <c r="F89" s="358"/>
      <c r="G89" s="358"/>
      <c r="H89" s="358"/>
      <c r="I89" s="358"/>
      <c r="J89" s="358"/>
    </row>
    <row r="90" spans="2:10" ht="10.050000000000001" customHeight="1" x14ac:dyDescent="0.45">
      <c r="B90" s="234" t="s">
        <v>508</v>
      </c>
      <c r="C90" s="358"/>
      <c r="D90" s="358"/>
      <c r="E90" s="358"/>
      <c r="F90" s="358"/>
      <c r="G90" s="358"/>
      <c r="H90" s="358"/>
      <c r="I90" s="358"/>
      <c r="J90" s="358"/>
    </row>
    <row r="91" spans="2:10" ht="10.050000000000001" customHeight="1" x14ac:dyDescent="0.45">
      <c r="B91" s="356"/>
      <c r="C91" s="356"/>
      <c r="D91" s="356"/>
      <c r="E91" s="356"/>
      <c r="F91" s="356"/>
      <c r="G91" s="356"/>
      <c r="H91" s="356"/>
      <c r="I91" s="23"/>
      <c r="J91" s="23"/>
    </row>
    <row r="92" spans="2:10" ht="10.050000000000001" customHeight="1" x14ac:dyDescent="0.45">
      <c r="C92" s="225"/>
      <c r="D92" s="225"/>
      <c r="E92" s="225"/>
      <c r="F92" s="225"/>
      <c r="G92" s="225"/>
      <c r="H92" s="225"/>
      <c r="I92" s="23"/>
      <c r="J92" s="23"/>
    </row>
    <row r="93" spans="2:10" ht="8.25" customHeight="1" x14ac:dyDescent="0.45">
      <c r="C93" s="224"/>
      <c r="D93" s="224"/>
      <c r="E93" s="224"/>
      <c r="F93" s="224"/>
      <c r="G93" s="224"/>
      <c r="H93" s="224"/>
      <c r="I93" s="23"/>
      <c r="J93" s="23"/>
    </row>
    <row r="95" spans="2:10" ht="15" customHeight="1" x14ac:dyDescent="0.45"/>
  </sheetData>
  <mergeCells count="12">
    <mergeCell ref="B23:B24"/>
    <mergeCell ref="D23:D24"/>
    <mergeCell ref="E23:E24"/>
    <mergeCell ref="F23:F24"/>
    <mergeCell ref="G23:G24"/>
    <mergeCell ref="D60:E60"/>
    <mergeCell ref="H23:J24"/>
    <mergeCell ref="H82:J82"/>
    <mergeCell ref="H83:J83"/>
    <mergeCell ref="H84:J84"/>
    <mergeCell ref="H81:J81"/>
    <mergeCell ref="H73:J73"/>
  </mergeCells>
  <conditionalFormatting sqref="G29:G34">
    <cfRule type="cellIs" dxfId="2" priority="1" operator="lessThan">
      <formula>0</formula>
    </cfRule>
  </conditionalFormatting>
  <pageMargins left="0.25" right="0.25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C26-18EA-4310-A9C6-248F8ACB8EEC}">
  <dimension ref="A2:H51"/>
  <sheetViews>
    <sheetView workbookViewId="0">
      <selection activeCell="I17" sqref="I17"/>
    </sheetView>
  </sheetViews>
  <sheetFormatPr baseColWidth="10" defaultRowHeight="14.25" x14ac:dyDescent="0.45"/>
  <cols>
    <col min="1" max="1" width="4.1328125" customWidth="1"/>
  </cols>
  <sheetData>
    <row r="2" spans="1:8" x14ac:dyDescent="0.45">
      <c r="B2" s="489" t="s">
        <v>387</v>
      </c>
      <c r="C2" s="489"/>
      <c r="D2" s="489"/>
      <c r="E2" s="489"/>
    </row>
    <row r="3" spans="1:8" x14ac:dyDescent="0.45">
      <c r="B3" s="60" t="s">
        <v>388</v>
      </c>
      <c r="C3" s="60" t="s">
        <v>389</v>
      </c>
      <c r="E3" t="s">
        <v>390</v>
      </c>
    </row>
    <row r="4" spans="1:8" x14ac:dyDescent="0.45">
      <c r="B4" s="93">
        <v>35</v>
      </c>
      <c r="C4" s="93">
        <v>15</v>
      </c>
      <c r="E4" s="197">
        <f>(C4/60)+B4</f>
        <v>35.25</v>
      </c>
    </row>
    <row r="6" spans="1:8" x14ac:dyDescent="0.45">
      <c r="A6" s="320"/>
      <c r="B6" s="321" t="s">
        <v>468</v>
      </c>
      <c r="C6" s="320"/>
      <c r="D6" s="320"/>
      <c r="E6" s="320"/>
      <c r="F6" s="323"/>
    </row>
    <row r="7" spans="1:8" x14ac:dyDescent="0.45">
      <c r="A7" s="319"/>
      <c r="B7" s="319"/>
      <c r="C7" s="319"/>
      <c r="D7" s="319"/>
      <c r="E7" s="319"/>
      <c r="F7" s="327"/>
    </row>
    <row r="8" spans="1:8" x14ac:dyDescent="0.45">
      <c r="A8" s="319"/>
      <c r="B8" s="319" t="s">
        <v>391</v>
      </c>
      <c r="C8" s="319"/>
      <c r="D8" s="319"/>
      <c r="E8" s="93">
        <v>35</v>
      </c>
      <c r="F8" s="327"/>
    </row>
    <row r="9" spans="1:8" x14ac:dyDescent="0.45">
      <c r="A9" s="319"/>
      <c r="B9" s="319"/>
      <c r="C9" s="319"/>
      <c r="D9" s="319"/>
      <c r="E9" s="319"/>
      <c r="F9" s="328"/>
    </row>
    <row r="10" spans="1:8" x14ac:dyDescent="0.45">
      <c r="A10" s="319"/>
      <c r="B10" s="198" t="s">
        <v>392</v>
      </c>
      <c r="C10" s="198" t="s">
        <v>393</v>
      </c>
      <c r="D10" s="198" t="s">
        <v>123</v>
      </c>
      <c r="E10" s="198" t="s">
        <v>394</v>
      </c>
      <c r="F10" s="198" t="s">
        <v>395</v>
      </c>
    </row>
    <row r="11" spans="1:8" x14ac:dyDescent="0.45">
      <c r="A11" s="319"/>
      <c r="B11" s="198">
        <v>1</v>
      </c>
      <c r="C11" s="199">
        <v>39</v>
      </c>
      <c r="D11" s="88">
        <f>C11-$E$8</f>
        <v>4</v>
      </c>
      <c r="E11" s="88">
        <f>IF(D11&lt;8,D11,8)</f>
        <v>4</v>
      </c>
      <c r="F11" s="88">
        <f>D11-E11</f>
        <v>0</v>
      </c>
      <c r="H11" s="332" t="s">
        <v>478</v>
      </c>
    </row>
    <row r="12" spans="1:8" x14ac:dyDescent="0.45">
      <c r="A12" s="319"/>
      <c r="B12" s="198">
        <v>2</v>
      </c>
      <c r="C12" s="199">
        <v>42</v>
      </c>
      <c r="D12" s="88">
        <f t="shared" ref="D12:D14" si="0">C12-$E$8</f>
        <v>7</v>
      </c>
      <c r="E12" s="88">
        <f t="shared" ref="E12:E14" si="1">IF(D12&lt;8,D12,8)</f>
        <v>7</v>
      </c>
      <c r="F12" s="88">
        <f t="shared" ref="F12:F14" si="2">D12-E12</f>
        <v>0</v>
      </c>
    </row>
    <row r="13" spans="1:8" x14ac:dyDescent="0.45">
      <c r="A13" s="319"/>
      <c r="B13" s="198">
        <v>3</v>
      </c>
      <c r="C13" s="199">
        <v>45</v>
      </c>
      <c r="D13" s="88">
        <f t="shared" si="0"/>
        <v>10</v>
      </c>
      <c r="E13" s="88">
        <f t="shared" si="1"/>
        <v>8</v>
      </c>
      <c r="F13" s="88">
        <f t="shared" si="2"/>
        <v>2</v>
      </c>
    </row>
    <row r="14" spans="1:8" x14ac:dyDescent="0.45">
      <c r="A14" s="319"/>
      <c r="B14" s="198">
        <v>4</v>
      </c>
      <c r="C14" s="199">
        <v>38</v>
      </c>
      <c r="D14" s="88">
        <f t="shared" si="0"/>
        <v>3</v>
      </c>
      <c r="E14" s="88">
        <f t="shared" si="1"/>
        <v>3</v>
      </c>
      <c r="F14" s="88">
        <f t="shared" si="2"/>
        <v>0</v>
      </c>
    </row>
    <row r="15" spans="1:8" ht="14.65" thickBot="1" x14ac:dyDescent="0.5">
      <c r="A15" s="329"/>
      <c r="B15" s="325" t="s">
        <v>396</v>
      </c>
      <c r="C15" s="325">
        <f>SUM(C11:C14)</f>
        <v>164</v>
      </c>
      <c r="D15" s="325">
        <f t="shared" ref="D15:F15" si="3">SUM(D11:D14)</f>
        <v>24</v>
      </c>
      <c r="E15" s="326">
        <f t="shared" si="3"/>
        <v>22</v>
      </c>
      <c r="F15" s="326">
        <f t="shared" si="3"/>
        <v>2</v>
      </c>
    </row>
    <row r="17" spans="1:8" x14ac:dyDescent="0.45">
      <c r="A17" s="320"/>
      <c r="B17" s="321" t="s">
        <v>469</v>
      </c>
      <c r="C17" s="320"/>
      <c r="D17" s="320"/>
      <c r="E17" s="320"/>
      <c r="F17" s="323"/>
    </row>
    <row r="18" spans="1:8" x14ac:dyDescent="0.45">
      <c r="A18" s="101"/>
      <c r="B18" s="101"/>
      <c r="C18" s="101"/>
      <c r="D18" s="101"/>
      <c r="E18" s="101"/>
      <c r="F18" s="172"/>
    </row>
    <row r="19" spans="1:8" x14ac:dyDescent="0.45">
      <c r="A19" s="101"/>
      <c r="B19" s="101" t="s">
        <v>399</v>
      </c>
      <c r="C19" s="101"/>
      <c r="D19" s="101"/>
      <c r="E19" s="93">
        <v>24</v>
      </c>
      <c r="F19" s="172"/>
    </row>
    <row r="20" spans="1:8" x14ac:dyDescent="0.45">
      <c r="A20" s="101"/>
      <c r="B20" s="101" t="s">
        <v>515</v>
      </c>
      <c r="C20" s="101"/>
      <c r="D20" s="101"/>
      <c r="E20" s="65">
        <f>E19*52/12</f>
        <v>104</v>
      </c>
      <c r="F20" s="172"/>
    </row>
    <row r="21" spans="1:8" x14ac:dyDescent="0.45">
      <c r="A21" s="101"/>
      <c r="B21" s="101" t="s">
        <v>400</v>
      </c>
      <c r="C21" s="101"/>
      <c r="D21" s="101"/>
      <c r="E21" s="82">
        <f>E19*1/3</f>
        <v>8</v>
      </c>
      <c r="F21" s="172"/>
    </row>
    <row r="22" spans="1:8" x14ac:dyDescent="0.45">
      <c r="A22" s="101"/>
      <c r="B22" s="101" t="s">
        <v>403</v>
      </c>
      <c r="C22" s="101"/>
      <c r="D22" s="101"/>
      <c r="E22" s="101"/>
      <c r="F22" s="172"/>
    </row>
    <row r="23" spans="1:8" x14ac:dyDescent="0.45">
      <c r="A23" s="101"/>
      <c r="B23" s="101" t="s">
        <v>404</v>
      </c>
      <c r="C23" s="101"/>
      <c r="D23" s="101"/>
      <c r="E23" s="60">
        <f>E19*10%</f>
        <v>2.4000000000000004</v>
      </c>
      <c r="F23" s="172"/>
    </row>
    <row r="24" spans="1:8" x14ac:dyDescent="0.45">
      <c r="A24" s="101"/>
      <c r="B24" s="101"/>
      <c r="C24" s="101"/>
      <c r="D24" s="101"/>
      <c r="E24" s="101"/>
      <c r="F24" s="175"/>
      <c r="H24" s="332" t="s">
        <v>479</v>
      </c>
    </row>
    <row r="25" spans="1:8" x14ac:dyDescent="0.45">
      <c r="A25" s="101"/>
      <c r="B25" s="198" t="s">
        <v>392</v>
      </c>
      <c r="C25" s="198" t="s">
        <v>393</v>
      </c>
      <c r="D25" s="198" t="s">
        <v>401</v>
      </c>
      <c r="E25" s="198" t="s">
        <v>402</v>
      </c>
      <c r="F25" s="198" t="s">
        <v>394</v>
      </c>
    </row>
    <row r="26" spans="1:8" x14ac:dyDescent="0.45">
      <c r="A26" s="101"/>
      <c r="B26" s="198">
        <v>1</v>
      </c>
      <c r="C26" s="199">
        <v>29</v>
      </c>
      <c r="D26" s="88">
        <f>C26-$E$19</f>
        <v>5</v>
      </c>
      <c r="E26" s="208">
        <f>IF(D26&lt;=$E$23,D26,$E$23)</f>
        <v>2.4000000000000004</v>
      </c>
      <c r="F26" s="208">
        <f>D26-E26</f>
        <v>2.5999999999999996</v>
      </c>
    </row>
    <row r="27" spans="1:8" x14ac:dyDescent="0.45">
      <c r="A27" s="101"/>
      <c r="B27" s="198">
        <v>2</v>
      </c>
      <c r="C27" s="199">
        <v>26</v>
      </c>
      <c r="D27" s="88">
        <f t="shared" ref="D27:D29" si="4">C27-$E$19</f>
        <v>2</v>
      </c>
      <c r="E27" s="208">
        <f t="shared" ref="E27:E29" si="5">IF(D27&lt;=$E$23,D27,$E$23)</f>
        <v>2</v>
      </c>
      <c r="F27" s="208">
        <f t="shared" ref="F27:F29" si="6">D27-E27</f>
        <v>0</v>
      </c>
    </row>
    <row r="28" spans="1:8" x14ac:dyDescent="0.45">
      <c r="A28" s="101"/>
      <c r="B28" s="198">
        <v>3</v>
      </c>
      <c r="C28" s="199">
        <v>25</v>
      </c>
      <c r="D28" s="88">
        <f t="shared" si="4"/>
        <v>1</v>
      </c>
      <c r="E28" s="208">
        <f t="shared" si="5"/>
        <v>1</v>
      </c>
      <c r="F28" s="208">
        <f t="shared" si="6"/>
        <v>0</v>
      </c>
    </row>
    <row r="29" spans="1:8" x14ac:dyDescent="0.45">
      <c r="A29" s="101"/>
      <c r="B29" s="198">
        <v>4</v>
      </c>
      <c r="C29" s="199">
        <v>27</v>
      </c>
      <c r="D29" s="88">
        <f t="shared" si="4"/>
        <v>3</v>
      </c>
      <c r="E29" s="208">
        <f t="shared" si="5"/>
        <v>2.4000000000000004</v>
      </c>
      <c r="F29" s="208">
        <f t="shared" si="6"/>
        <v>0.59999999999999964</v>
      </c>
    </row>
    <row r="30" spans="1:8" ht="14.65" thickBot="1" x14ac:dyDescent="0.5">
      <c r="A30" s="324"/>
      <c r="B30" s="325" t="s">
        <v>396</v>
      </c>
      <c r="C30" s="325">
        <f>SUM(C26:C29)</f>
        <v>107</v>
      </c>
      <c r="D30" s="325">
        <f t="shared" ref="D30:F30" si="7">SUM(D26:D29)</f>
        <v>11</v>
      </c>
      <c r="E30" s="326">
        <f t="shared" si="7"/>
        <v>7.8000000000000007</v>
      </c>
      <c r="F30" s="326">
        <f t="shared" si="7"/>
        <v>3.1999999999999993</v>
      </c>
    </row>
    <row r="32" spans="1:8" x14ac:dyDescent="0.45">
      <c r="A32" s="322"/>
      <c r="B32" s="321" t="s">
        <v>470</v>
      </c>
      <c r="C32" s="320"/>
      <c r="D32" s="320"/>
      <c r="E32" s="320"/>
      <c r="F32" s="323"/>
    </row>
    <row r="33" spans="1:8" x14ac:dyDescent="0.45">
      <c r="A33" s="138"/>
      <c r="B33" s="9"/>
      <c r="C33" s="9"/>
      <c r="D33" s="9"/>
      <c r="E33" s="9"/>
      <c r="F33" s="146"/>
    </row>
    <row r="34" spans="1:8" x14ac:dyDescent="0.45">
      <c r="A34" s="138"/>
      <c r="B34" s="9" t="s">
        <v>471</v>
      </c>
      <c r="C34" s="9"/>
      <c r="D34" s="9"/>
      <c r="E34" s="93">
        <v>37</v>
      </c>
      <c r="F34" s="146"/>
    </row>
    <row r="35" spans="1:8" x14ac:dyDescent="0.45">
      <c r="A35" s="138"/>
      <c r="B35" s="9"/>
      <c r="C35" s="9"/>
      <c r="D35" s="9"/>
      <c r="E35" s="9"/>
      <c r="F35" s="146"/>
    </row>
    <row r="36" spans="1:8" x14ac:dyDescent="0.45">
      <c r="A36" s="138"/>
      <c r="B36" s="9" t="s">
        <v>472</v>
      </c>
      <c r="C36" s="9"/>
      <c r="D36" s="9"/>
      <c r="E36" s="60">
        <f>E34-35</f>
        <v>2</v>
      </c>
      <c r="F36" s="146"/>
    </row>
    <row r="37" spans="1:8" x14ac:dyDescent="0.45">
      <c r="A37" s="138"/>
      <c r="B37" s="9"/>
      <c r="C37" s="9"/>
      <c r="D37" s="9"/>
      <c r="E37" s="9"/>
      <c r="F37" s="161"/>
    </row>
    <row r="38" spans="1:8" x14ac:dyDescent="0.45">
      <c r="A38" s="138"/>
      <c r="B38" s="198" t="s">
        <v>392</v>
      </c>
      <c r="C38" s="198" t="s">
        <v>393</v>
      </c>
      <c r="D38" s="198" t="s">
        <v>123</v>
      </c>
      <c r="E38" s="198" t="s">
        <v>394</v>
      </c>
      <c r="F38" s="198" t="s">
        <v>395</v>
      </c>
    </row>
    <row r="39" spans="1:8" x14ac:dyDescent="0.45">
      <c r="A39" s="138"/>
      <c r="B39" s="198">
        <v>1</v>
      </c>
      <c r="C39" s="199">
        <v>45</v>
      </c>
      <c r="D39" s="88">
        <f>C39-$E$34</f>
        <v>8</v>
      </c>
      <c r="E39" s="208">
        <f>IF(D39&lt;8-$E$36,D39,8-$E$36)</f>
        <v>6</v>
      </c>
      <c r="F39" s="208">
        <f>D39-E39</f>
        <v>2</v>
      </c>
    </row>
    <row r="40" spans="1:8" x14ac:dyDescent="0.45">
      <c r="A40" s="138"/>
      <c r="B40" s="198">
        <v>2</v>
      </c>
      <c r="C40" s="199">
        <v>44</v>
      </c>
      <c r="D40" s="88">
        <f t="shared" ref="D40:D42" si="8">C40-$E$34</f>
        <v>7</v>
      </c>
      <c r="E40" s="208">
        <f t="shared" ref="E40:E42" si="9">IF(D40&lt;8-$E$36,D40,8-$E$36)</f>
        <v>6</v>
      </c>
      <c r="F40" s="208">
        <f t="shared" ref="F40:F42" si="10">D40-E40</f>
        <v>1</v>
      </c>
    </row>
    <row r="41" spans="1:8" x14ac:dyDescent="0.45">
      <c r="A41" s="138"/>
      <c r="B41" s="198">
        <v>3</v>
      </c>
      <c r="C41" s="199">
        <v>40</v>
      </c>
      <c r="D41" s="88">
        <f t="shared" si="8"/>
        <v>3</v>
      </c>
      <c r="E41" s="208">
        <f t="shared" si="9"/>
        <v>3</v>
      </c>
      <c r="F41" s="208">
        <f t="shared" si="10"/>
        <v>0</v>
      </c>
      <c r="H41" s="332" t="s">
        <v>480</v>
      </c>
    </row>
    <row r="42" spans="1:8" x14ac:dyDescent="0.45">
      <c r="A42" s="138"/>
      <c r="B42" s="198">
        <v>4</v>
      </c>
      <c r="C42" s="199">
        <v>42</v>
      </c>
      <c r="D42" s="88">
        <f t="shared" si="8"/>
        <v>5</v>
      </c>
      <c r="E42" s="208">
        <f t="shared" si="9"/>
        <v>5</v>
      </c>
      <c r="F42" s="208">
        <f t="shared" si="10"/>
        <v>0</v>
      </c>
    </row>
    <row r="43" spans="1:8" x14ac:dyDescent="0.45">
      <c r="A43" s="138"/>
      <c r="B43" s="200" t="s">
        <v>396</v>
      </c>
      <c r="C43" s="200">
        <f>SUM(C39:C42)</f>
        <v>171</v>
      </c>
      <c r="D43" s="200">
        <f t="shared" ref="D43:F43" si="11">SUM(D39:D42)</f>
        <v>23</v>
      </c>
      <c r="E43" s="201">
        <f t="shared" si="11"/>
        <v>20</v>
      </c>
      <c r="F43" s="201">
        <f t="shared" si="11"/>
        <v>3</v>
      </c>
    </row>
    <row r="44" spans="1:8" x14ac:dyDescent="0.45">
      <c r="A44" s="138"/>
      <c r="B44" s="9"/>
      <c r="C44" s="9"/>
      <c r="D44" s="9"/>
      <c r="E44" s="9"/>
      <c r="F44" s="140"/>
    </row>
    <row r="45" spans="1:8" x14ac:dyDescent="0.45">
      <c r="A45" s="138"/>
      <c r="B45" s="9" t="s">
        <v>473</v>
      </c>
      <c r="C45" s="9"/>
      <c r="D45" s="9"/>
      <c r="E45" s="82">
        <f>E36*52/12</f>
        <v>8.6666666666666661</v>
      </c>
      <c r="F45" s="146"/>
    </row>
    <row r="46" spans="1:8" x14ac:dyDescent="0.45">
      <c r="A46" s="138"/>
      <c r="B46" s="9"/>
      <c r="C46" s="9"/>
      <c r="D46" s="9"/>
      <c r="E46" s="9"/>
      <c r="F46" s="146"/>
    </row>
    <row r="47" spans="1:8" x14ac:dyDescent="0.45">
      <c r="A47" s="138"/>
      <c r="B47" s="290" t="s">
        <v>474</v>
      </c>
      <c r="C47" s="9"/>
      <c r="D47" s="9"/>
      <c r="E47" s="9"/>
      <c r="F47" s="146"/>
    </row>
    <row r="48" spans="1:8" x14ac:dyDescent="0.45">
      <c r="A48" s="138"/>
      <c r="B48" s="9"/>
      <c r="C48" s="9"/>
      <c r="D48" s="9"/>
      <c r="E48" s="9"/>
      <c r="F48" s="146"/>
    </row>
    <row r="49" spans="1:6" x14ac:dyDescent="0.45">
      <c r="A49" s="138"/>
      <c r="B49" s="9" t="s">
        <v>475</v>
      </c>
      <c r="C49" s="9"/>
      <c r="D49" s="9"/>
      <c r="E49" s="93"/>
      <c r="F49" s="146"/>
    </row>
    <row r="50" spans="1:6" x14ac:dyDescent="0.45">
      <c r="A50" s="138"/>
      <c r="B50" s="9" t="s">
        <v>476</v>
      </c>
      <c r="C50" s="9"/>
      <c r="D50" s="9"/>
      <c r="E50" s="82">
        <f>E49/(151.67+(E45*1.25))</f>
        <v>0</v>
      </c>
      <c r="F50" s="146"/>
    </row>
    <row r="51" spans="1:6" ht="14.65" thickBot="1" x14ac:dyDescent="0.5">
      <c r="A51" s="330"/>
      <c r="B51" s="330" t="s">
        <v>477</v>
      </c>
      <c r="C51" s="330"/>
      <c r="D51" s="331"/>
      <c r="E51" s="121">
        <f>151.67*E50</f>
        <v>0</v>
      </c>
      <c r="F51" s="331"/>
    </row>
  </sheetData>
  <mergeCells count="1">
    <mergeCell ref="B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A4A3-C582-4E40-B323-400EB2FB66F7}">
  <dimension ref="B2:R53"/>
  <sheetViews>
    <sheetView workbookViewId="0">
      <selection activeCell="N5" sqref="N5"/>
    </sheetView>
  </sheetViews>
  <sheetFormatPr baseColWidth="10" defaultRowHeight="14.25" x14ac:dyDescent="0.45"/>
  <cols>
    <col min="1" max="1" width="2.796875" customWidth="1"/>
    <col min="2" max="3" width="12.73046875" customWidth="1"/>
    <col min="4" max="4" width="12.9296875" customWidth="1"/>
    <col min="5" max="5" width="14.9296875" customWidth="1"/>
    <col min="6" max="8" width="12.73046875" customWidth="1"/>
    <col min="9" max="9" width="15.6640625" customWidth="1"/>
    <col min="10" max="12" width="12.73046875" customWidth="1"/>
  </cols>
  <sheetData>
    <row r="2" spans="2:18" ht="63.4" customHeight="1" x14ac:dyDescent="0.45">
      <c r="B2" s="390" t="s">
        <v>15</v>
      </c>
      <c r="C2" s="390" t="s">
        <v>483</v>
      </c>
      <c r="D2" s="390" t="s">
        <v>80</v>
      </c>
      <c r="E2" s="390" t="s">
        <v>484</v>
      </c>
      <c r="F2" s="390" t="s">
        <v>485</v>
      </c>
      <c r="G2" s="390" t="s">
        <v>486</v>
      </c>
      <c r="H2" s="390" t="s">
        <v>487</v>
      </c>
      <c r="I2" s="391" t="s">
        <v>488</v>
      </c>
      <c r="J2" s="389" t="s">
        <v>542</v>
      </c>
      <c r="K2" s="390" t="s">
        <v>541</v>
      </c>
      <c r="L2" s="390" t="s">
        <v>489</v>
      </c>
      <c r="M2" s="390" t="s">
        <v>540</v>
      </c>
    </row>
    <row r="3" spans="2:18" x14ac:dyDescent="0.45">
      <c r="B3" s="60" t="s">
        <v>482</v>
      </c>
      <c r="C3" s="129">
        <f>BULLETIN!$G$12</f>
        <v>151.66999999999999</v>
      </c>
      <c r="D3" s="291"/>
      <c r="E3" s="337"/>
      <c r="F3" s="91"/>
      <c r="G3" s="337"/>
      <c r="H3" s="91"/>
      <c r="I3" s="335"/>
      <c r="J3" s="388"/>
      <c r="K3" s="129">
        <f>D3-F3+H3+I3</f>
        <v>0</v>
      </c>
      <c r="L3" s="129">
        <f>SUM(L2)+M3</f>
        <v>0</v>
      </c>
      <c r="M3" s="129">
        <f>K3+J3</f>
        <v>0</v>
      </c>
      <c r="N3">
        <v>12.02</v>
      </c>
      <c r="P3" s="60" t="s">
        <v>554</v>
      </c>
      <c r="Q3" s="395">
        <f>COTISATIONS!F22</f>
        <v>0.13</v>
      </c>
      <c r="R3" s="395">
        <f>Q3</f>
        <v>0.13</v>
      </c>
    </row>
    <row r="4" spans="2:18" x14ac:dyDescent="0.45">
      <c r="B4" s="60" t="s">
        <v>141</v>
      </c>
      <c r="C4" s="129">
        <f>BULLETIN!$G$12</f>
        <v>151.66999999999999</v>
      </c>
      <c r="D4" s="291"/>
      <c r="E4" s="337"/>
      <c r="F4" s="91"/>
      <c r="G4" s="337"/>
      <c r="H4" s="91"/>
      <c r="I4" s="335"/>
      <c r="J4" s="388"/>
      <c r="K4" s="129">
        <f t="shared" ref="K4:K14" si="0">D4-F4+H4+I4</f>
        <v>0</v>
      </c>
      <c r="L4" s="129">
        <f t="shared" ref="L4:L14" si="1">SUM(L3)+M4</f>
        <v>0</v>
      </c>
      <c r="M4" s="129">
        <f t="shared" ref="M4:M14" si="2">K4+J4</f>
        <v>0</v>
      </c>
      <c r="P4" s="60" t="s">
        <v>555</v>
      </c>
      <c r="Q4" s="77">
        <f>COTISATIONS!F24</f>
        <v>8.5500000000000007E-2</v>
      </c>
      <c r="R4" s="77">
        <f>Q4</f>
        <v>8.5500000000000007E-2</v>
      </c>
    </row>
    <row r="5" spans="2:18" x14ac:dyDescent="0.45">
      <c r="B5" s="60" t="s">
        <v>142</v>
      </c>
      <c r="C5" s="129">
        <f>BULLETIN!$G$12</f>
        <v>151.66999999999999</v>
      </c>
      <c r="D5" s="291"/>
      <c r="E5" s="337"/>
      <c r="F5" s="91"/>
      <c r="G5" s="337"/>
      <c r="H5" s="91"/>
      <c r="I5" s="335"/>
      <c r="J5" s="388"/>
      <c r="K5" s="129">
        <f t="shared" si="0"/>
        <v>0</v>
      </c>
      <c r="L5" s="129">
        <f t="shared" si="1"/>
        <v>0</v>
      </c>
      <c r="M5" s="129">
        <f t="shared" si="2"/>
        <v>0</v>
      </c>
      <c r="P5" s="60" t="s">
        <v>556</v>
      </c>
      <c r="Q5" s="77">
        <f>COTISATIONS!F25</f>
        <v>2.1100000000000001E-2</v>
      </c>
      <c r="R5" s="77">
        <f>Q5</f>
        <v>2.1100000000000001E-2</v>
      </c>
    </row>
    <row r="6" spans="2:18" x14ac:dyDescent="0.45">
      <c r="B6" s="60" t="s">
        <v>143</v>
      </c>
      <c r="C6" s="129">
        <f>BULLETIN!$G$12</f>
        <v>151.66999999999999</v>
      </c>
      <c r="D6" s="291"/>
      <c r="E6" s="337"/>
      <c r="F6" s="91"/>
      <c r="G6" s="337"/>
      <c r="H6" s="91"/>
      <c r="I6" s="335"/>
      <c r="J6" s="388"/>
      <c r="K6" s="129">
        <f t="shared" si="0"/>
        <v>0</v>
      </c>
      <c r="L6" s="129">
        <f t="shared" si="1"/>
        <v>0</v>
      </c>
      <c r="M6" s="129">
        <f t="shared" si="2"/>
        <v>0</v>
      </c>
      <c r="P6" s="60" t="s">
        <v>557</v>
      </c>
      <c r="Q6" s="77">
        <f>COTISATIONS!F26</f>
        <v>5.2499999999999998E-2</v>
      </c>
      <c r="R6" s="77">
        <f>Q6</f>
        <v>5.2499999999999998E-2</v>
      </c>
    </row>
    <row r="7" spans="2:18" x14ac:dyDescent="0.45">
      <c r="B7" s="60" t="s">
        <v>144</v>
      </c>
      <c r="C7" s="129">
        <f>BULLETIN!$G$12</f>
        <v>151.66999999999999</v>
      </c>
      <c r="D7" s="291"/>
      <c r="E7" s="337"/>
      <c r="F7" s="91"/>
      <c r="G7" s="337"/>
      <c r="H7" s="91"/>
      <c r="I7" s="335"/>
      <c r="J7" s="388"/>
      <c r="K7" s="129">
        <f t="shared" si="0"/>
        <v>0</v>
      </c>
      <c r="L7" s="129">
        <f t="shared" si="1"/>
        <v>0</v>
      </c>
      <c r="M7" s="129">
        <f t="shared" si="2"/>
        <v>0</v>
      </c>
      <c r="N7" t="str">
        <f>COTISATIONS!D11</f>
        <v>janvier</v>
      </c>
      <c r="P7" s="60" t="s">
        <v>558</v>
      </c>
      <c r="Q7" s="77">
        <f>IF(COTISATIONS!F15&lt;0.49%,COTISATIONS!F15,0.49%)</f>
        <v>4.8999999999999998E-3</v>
      </c>
      <c r="R7" s="77">
        <f>Q7</f>
        <v>4.8999999999999998E-3</v>
      </c>
    </row>
    <row r="8" spans="2:18" x14ac:dyDescent="0.45">
      <c r="B8" s="60" t="s">
        <v>145</v>
      </c>
      <c r="C8" s="129">
        <f>BULLETIN!$G$12</f>
        <v>151.66999999999999</v>
      </c>
      <c r="D8" s="291"/>
      <c r="E8" s="337"/>
      <c r="F8" s="91"/>
      <c r="G8" s="337"/>
      <c r="H8" s="91"/>
      <c r="I8" s="335"/>
      <c r="J8" s="388"/>
      <c r="K8" s="129">
        <f t="shared" si="0"/>
        <v>0</v>
      </c>
      <c r="L8" s="129">
        <f t="shared" si="1"/>
        <v>0</v>
      </c>
      <c r="M8" s="129">
        <f t="shared" si="2"/>
        <v>0</v>
      </c>
      <c r="P8" s="60" t="s">
        <v>559</v>
      </c>
      <c r="Q8" s="77">
        <f>COTISATIONS!F27</f>
        <v>1E-3</v>
      </c>
      <c r="R8" s="77">
        <f>COTISATIONS!F28</f>
        <v>5.0000000000000001E-3</v>
      </c>
    </row>
    <row r="9" spans="2:18" x14ac:dyDescent="0.45">
      <c r="B9" s="60" t="s">
        <v>146</v>
      </c>
      <c r="C9" s="129">
        <f>BULLETIN!$G$12</f>
        <v>151.66999999999999</v>
      </c>
      <c r="D9" s="291"/>
      <c r="E9" s="337"/>
      <c r="F9" s="91"/>
      <c r="G9" s="337"/>
      <c r="H9" s="91"/>
      <c r="I9" s="335"/>
      <c r="J9" s="388"/>
      <c r="K9" s="129">
        <f t="shared" si="0"/>
        <v>0</v>
      </c>
      <c r="L9" s="129">
        <f t="shared" si="1"/>
        <v>0</v>
      </c>
      <c r="M9" s="129">
        <f t="shared" si="2"/>
        <v>0</v>
      </c>
      <c r="P9" s="60" t="s">
        <v>560</v>
      </c>
      <c r="Q9" s="77">
        <f>COTISATIONS!F23</f>
        <v>3.0000000000000001E-3</v>
      </c>
      <c r="R9" s="77">
        <f>Q9</f>
        <v>3.0000000000000001E-3</v>
      </c>
    </row>
    <row r="10" spans="2:18" x14ac:dyDescent="0.45">
      <c r="B10" s="60" t="s">
        <v>147</v>
      </c>
      <c r="C10" s="129">
        <f>BULLETIN!$G$12</f>
        <v>151.66999999999999</v>
      </c>
      <c r="D10" s="291"/>
      <c r="E10" s="337"/>
      <c r="F10" s="91"/>
      <c r="G10" s="337"/>
      <c r="H10" s="91"/>
      <c r="I10" s="335"/>
      <c r="J10" s="388"/>
      <c r="K10" s="129">
        <f t="shared" si="0"/>
        <v>0</v>
      </c>
      <c r="L10" s="129">
        <f t="shared" si="1"/>
        <v>0</v>
      </c>
      <c r="M10" s="129">
        <f t="shared" si="2"/>
        <v>0</v>
      </c>
      <c r="P10" s="60" t="s">
        <v>561</v>
      </c>
      <c r="Q10" s="77">
        <f>IF(COTISATIONS!F46+COTISATIONS!F49&lt;6.01%,COTISATIONS!F46+COTISATIONS!F49,6.01%)</f>
        <v>6.0100000000000001E-2</v>
      </c>
      <c r="R10" s="77">
        <f>Q10</f>
        <v>6.0100000000000001E-2</v>
      </c>
    </row>
    <row r="11" spans="2:18" x14ac:dyDescent="0.45">
      <c r="B11" s="60" t="s">
        <v>148</v>
      </c>
      <c r="C11" s="129">
        <f>BULLETIN!$G$12</f>
        <v>151.66999999999999</v>
      </c>
      <c r="D11" s="291"/>
      <c r="E11" s="337"/>
      <c r="F11" s="91"/>
      <c r="G11" s="337"/>
      <c r="H11" s="91"/>
      <c r="I11" s="335"/>
      <c r="J11" s="388"/>
      <c r="K11" s="129">
        <f t="shared" si="0"/>
        <v>0</v>
      </c>
      <c r="L11" s="129">
        <f t="shared" si="1"/>
        <v>0</v>
      </c>
      <c r="M11" s="129">
        <f t="shared" si="2"/>
        <v>0</v>
      </c>
      <c r="P11" s="60" t="s">
        <v>562</v>
      </c>
      <c r="Q11" s="395">
        <f>COTISATIONS!F37</f>
        <v>0.04</v>
      </c>
      <c r="R11" s="395">
        <f>Q11</f>
        <v>0.04</v>
      </c>
    </row>
    <row r="12" spans="2:18" x14ac:dyDescent="0.45">
      <c r="B12" s="60" t="s">
        <v>149</v>
      </c>
      <c r="C12" s="129">
        <f>BULLETIN!$G$12</f>
        <v>151.66999999999999</v>
      </c>
      <c r="D12" s="291"/>
      <c r="E12" s="337"/>
      <c r="F12" s="91"/>
      <c r="G12" s="337"/>
      <c r="H12" s="91"/>
      <c r="I12" s="335"/>
      <c r="J12" s="388"/>
      <c r="K12" s="129">
        <f t="shared" si="0"/>
        <v>0</v>
      </c>
      <c r="L12" s="129">
        <f t="shared" si="1"/>
        <v>0</v>
      </c>
      <c r="M12" s="129">
        <f t="shared" si="2"/>
        <v>0</v>
      </c>
      <c r="P12" s="60" t="s">
        <v>563</v>
      </c>
      <c r="Q12" s="395">
        <v>0.02</v>
      </c>
      <c r="R12" s="395">
        <f>Q12</f>
        <v>0.02</v>
      </c>
    </row>
    <row r="13" spans="2:18" x14ac:dyDescent="0.45">
      <c r="B13" s="60" t="s">
        <v>150</v>
      </c>
      <c r="C13" s="129">
        <f>BULLETIN!$G$12</f>
        <v>151.66999999999999</v>
      </c>
      <c r="D13" s="291"/>
      <c r="E13" s="337"/>
      <c r="F13" s="91"/>
      <c r="G13" s="337"/>
      <c r="H13" s="91"/>
      <c r="I13" s="335"/>
      <c r="J13" s="388"/>
      <c r="K13" s="129">
        <f t="shared" si="0"/>
        <v>0</v>
      </c>
      <c r="L13" s="129">
        <f t="shared" si="1"/>
        <v>0</v>
      </c>
      <c r="M13" s="129">
        <f t="shared" si="2"/>
        <v>0</v>
      </c>
      <c r="P13" s="60" t="s">
        <v>22</v>
      </c>
      <c r="Q13" s="77">
        <f>SUM(Q3:Q11)-Q12</f>
        <v>0.37809999999999999</v>
      </c>
      <c r="R13" s="77">
        <f>SUM(R3:R11)-R12</f>
        <v>0.3821</v>
      </c>
    </row>
    <row r="14" spans="2:18" x14ac:dyDescent="0.45">
      <c r="B14" s="60" t="s">
        <v>151</v>
      </c>
      <c r="C14" s="129">
        <f>BULLETIN!$G$12</f>
        <v>151.66999999999999</v>
      </c>
      <c r="D14" s="291"/>
      <c r="E14" s="337"/>
      <c r="F14" s="91"/>
      <c r="G14" s="337"/>
      <c r="H14" s="91"/>
      <c r="I14" s="335"/>
      <c r="J14" s="388"/>
      <c r="K14" s="129">
        <f t="shared" si="0"/>
        <v>0</v>
      </c>
      <c r="L14" s="129">
        <f t="shared" si="1"/>
        <v>0</v>
      </c>
      <c r="M14" s="129">
        <f t="shared" si="2"/>
        <v>0</v>
      </c>
    </row>
    <row r="15" spans="2:18" x14ac:dyDescent="0.45">
      <c r="B15" s="60" t="s">
        <v>490</v>
      </c>
      <c r="C15" s="129">
        <f>SUM(C3:C14)</f>
        <v>1820.0400000000002</v>
      </c>
      <c r="D15" s="129">
        <f t="shared" ref="D15:H15" si="3">SUM(D3:D14)</f>
        <v>0</v>
      </c>
      <c r="E15" s="129">
        <f t="shared" si="3"/>
        <v>0</v>
      </c>
      <c r="F15" s="129">
        <f t="shared" si="3"/>
        <v>0</v>
      </c>
      <c r="G15" s="129">
        <f t="shared" si="3"/>
        <v>0</v>
      </c>
      <c r="H15" s="129">
        <f t="shared" si="3"/>
        <v>0</v>
      </c>
      <c r="I15" s="129">
        <f t="shared" ref="I15:J15" si="4">SUM(I3:I14)</f>
        <v>0</v>
      </c>
      <c r="J15" s="129">
        <f t="shared" si="4"/>
        <v>0</v>
      </c>
      <c r="K15" s="129">
        <f t="shared" ref="K15" si="5">SUM(K3:K14)</f>
        <v>0</v>
      </c>
      <c r="L15" s="336"/>
      <c r="M15" s="129">
        <f>SUM(M3:M14)</f>
        <v>0</v>
      </c>
    </row>
    <row r="16" spans="2:18" x14ac:dyDescent="0.45">
      <c r="B16" s="416"/>
      <c r="C16" s="92"/>
      <c r="D16" s="92"/>
      <c r="E16" s="92"/>
      <c r="F16" s="92"/>
      <c r="G16" s="92"/>
      <c r="H16" s="92"/>
      <c r="I16" s="92"/>
      <c r="J16" s="92"/>
      <c r="K16" s="92"/>
      <c r="Q16" s="383"/>
    </row>
    <row r="17" spans="2:17" x14ac:dyDescent="0.45">
      <c r="B17" s="92" t="s">
        <v>491</v>
      </c>
      <c r="Q17" s="383"/>
    </row>
    <row r="18" spans="2:17" x14ac:dyDescent="0.45">
      <c r="B18" s="92" t="s">
        <v>492</v>
      </c>
    </row>
    <row r="20" spans="2:17" ht="57.4" customHeight="1" x14ac:dyDescent="0.45">
      <c r="B20" s="89" t="s">
        <v>15</v>
      </c>
      <c r="C20" s="89" t="s">
        <v>493</v>
      </c>
      <c r="D20" s="89" t="s">
        <v>494</v>
      </c>
      <c r="E20" s="490" t="s">
        <v>495</v>
      </c>
      <c r="F20" s="491"/>
      <c r="G20" s="491"/>
      <c r="H20" s="492"/>
      <c r="I20" s="89" t="s">
        <v>496</v>
      </c>
      <c r="J20" s="387"/>
      <c r="K20" s="89" t="s">
        <v>545</v>
      </c>
      <c r="L20" s="89" t="s">
        <v>546</v>
      </c>
      <c r="M20" s="89" t="s">
        <v>547</v>
      </c>
      <c r="N20" s="89" t="s">
        <v>548</v>
      </c>
    </row>
    <row r="21" spans="2:17" x14ac:dyDescent="0.45">
      <c r="B21" s="60" t="s">
        <v>140</v>
      </c>
      <c r="C21" s="60">
        <f>D3+I3</f>
        <v>0</v>
      </c>
      <c r="D21" s="60">
        <f>D3-F3+I3</f>
        <v>0</v>
      </c>
      <c r="E21" s="280"/>
      <c r="F21" s="281"/>
      <c r="G21" s="338" t="str">
        <f>ROUND($N$3*C3,2)&amp;" x ( "&amp;D21&amp;" / "&amp;C21&amp;" ) "&amp;IF(SUM(G3)=0,"","+ ( "&amp;G3&amp;" x "&amp;$N$3&amp;" )")&amp;" = "</f>
        <v xml:space="preserve">1823,07 x ( 0 / 0 )  = </v>
      </c>
      <c r="H21" s="282">
        <f>IF(ISERR(TRUNC(ROUND($N$3*C3,2)*D21/C21+G3*$N$3,2)),0,TRUNC(ROUND($N$3*C3,2)*D21/C21+G3*$N$3,2))</f>
        <v>0</v>
      </c>
      <c r="I21" s="60">
        <f>SUM(I20)+H21</f>
        <v>0</v>
      </c>
      <c r="K21" s="77">
        <f>COTISATIONS!F27</f>
        <v>1E-3</v>
      </c>
      <c r="L21" s="395">
        <f>Q12</f>
        <v>0.02</v>
      </c>
      <c r="M21" s="77">
        <f>Q13</f>
        <v>0.37809999999999999</v>
      </c>
      <c r="N21" s="77">
        <f>M21+Q12</f>
        <v>0.39810000000000001</v>
      </c>
    </row>
    <row r="22" spans="2:17" x14ac:dyDescent="0.45">
      <c r="B22" s="60" t="s">
        <v>141</v>
      </c>
      <c r="C22" s="60">
        <f t="shared" ref="C22:C32" si="6">D4+I4</f>
        <v>0</v>
      </c>
      <c r="D22" s="60">
        <f t="shared" ref="D22:D32" si="7">D4-F4+I4</f>
        <v>0</v>
      </c>
      <c r="E22" s="280"/>
      <c r="F22" s="281"/>
      <c r="G22" s="338" t="str">
        <f t="shared" ref="G22:G32" si="8">ROUND($N$3*C4,2)&amp;" x ( "&amp;D22&amp;" / "&amp;C22&amp;" ) "&amp;IF(SUM(G4)=0,"","+ ( "&amp;G4&amp;" x "&amp;$N$3&amp;" )")&amp;" = "</f>
        <v xml:space="preserve">1823,07 x ( 0 / 0 )  = </v>
      </c>
      <c r="H22" s="282">
        <f t="shared" ref="H22:H32" si="9">IF(ISERR(TRUNC(ROUND($N$3*C4,2)*D22/C22+G4*$N$3,2)),0,TRUNC(ROUND($N$3*C4,2)*D22/C22+G4*$N$3,2))</f>
        <v>0</v>
      </c>
      <c r="I22" s="60">
        <f t="shared" ref="I22:I32" si="10">SUM(I21)+H22</f>
        <v>0</v>
      </c>
      <c r="K22" s="77">
        <f>COTISATIONS!F28</f>
        <v>5.0000000000000001E-3</v>
      </c>
      <c r="L22" s="395">
        <f>L21</f>
        <v>0.02</v>
      </c>
      <c r="M22" s="77">
        <f>R13</f>
        <v>0.3821</v>
      </c>
      <c r="N22" s="77">
        <f>M22+R12</f>
        <v>0.40210000000000001</v>
      </c>
    </row>
    <row r="23" spans="2:17" x14ac:dyDescent="0.45">
      <c r="B23" s="60" t="s">
        <v>142</v>
      </c>
      <c r="C23" s="60">
        <f t="shared" si="6"/>
        <v>0</v>
      </c>
      <c r="D23" s="60">
        <f t="shared" si="7"/>
        <v>0</v>
      </c>
      <c r="E23" s="280"/>
      <c r="F23" s="281"/>
      <c r="G23" s="338" t="str">
        <f t="shared" si="8"/>
        <v xml:space="preserve">1823,07 x ( 0 / 0 )  = </v>
      </c>
      <c r="H23" s="282">
        <f t="shared" si="9"/>
        <v>0</v>
      </c>
      <c r="I23" s="60">
        <f t="shared" si="10"/>
        <v>0</v>
      </c>
    </row>
    <row r="24" spans="2:17" x14ac:dyDescent="0.45">
      <c r="B24" s="60" t="s">
        <v>143</v>
      </c>
      <c r="C24" s="60">
        <f t="shared" si="6"/>
        <v>0</v>
      </c>
      <c r="D24" s="60">
        <f t="shared" si="7"/>
        <v>0</v>
      </c>
      <c r="E24" s="280"/>
      <c r="F24" s="281"/>
      <c r="G24" s="338" t="str">
        <f t="shared" si="8"/>
        <v xml:space="preserve">1823,07 x ( 0 / 0 )  = </v>
      </c>
      <c r="H24" s="282">
        <f t="shared" si="9"/>
        <v>0</v>
      </c>
      <c r="I24" s="60">
        <f t="shared" si="10"/>
        <v>0</v>
      </c>
      <c r="K24" s="77">
        <f>BULLETIN!H42</f>
        <v>1E-3</v>
      </c>
      <c r="L24" s="395">
        <f>L21</f>
        <v>0.02</v>
      </c>
      <c r="M24" s="60">
        <f>IF(K24=0.1%,M21,M22)</f>
        <v>0.37809999999999999</v>
      </c>
      <c r="N24" s="60">
        <f>IF(K24=0.1%,N21,N22)</f>
        <v>0.39810000000000001</v>
      </c>
    </row>
    <row r="25" spans="2:17" x14ac:dyDescent="0.45">
      <c r="B25" s="60" t="s">
        <v>144</v>
      </c>
      <c r="C25" s="60">
        <f t="shared" si="6"/>
        <v>0</v>
      </c>
      <c r="D25" s="60">
        <f t="shared" si="7"/>
        <v>0</v>
      </c>
      <c r="E25" s="280"/>
      <c r="F25" s="281"/>
      <c r="G25" s="338" t="str">
        <f t="shared" si="8"/>
        <v xml:space="preserve">1823,07 x ( 0 / 0 )  = </v>
      </c>
      <c r="H25" s="282">
        <f t="shared" si="9"/>
        <v>0</v>
      </c>
      <c r="I25" s="60">
        <f t="shared" si="10"/>
        <v>0</v>
      </c>
    </row>
    <row r="26" spans="2:17" x14ac:dyDescent="0.45">
      <c r="B26" s="60" t="s">
        <v>145</v>
      </c>
      <c r="C26" s="60">
        <f t="shared" si="6"/>
        <v>0</v>
      </c>
      <c r="D26" s="60">
        <f t="shared" si="7"/>
        <v>0</v>
      </c>
      <c r="E26" s="280"/>
      <c r="F26" s="281"/>
      <c r="G26" s="338" t="str">
        <f t="shared" si="8"/>
        <v xml:space="preserve">1823,07 x ( 0 / 0 )  = </v>
      </c>
      <c r="H26" s="282">
        <f t="shared" si="9"/>
        <v>0</v>
      </c>
      <c r="I26" s="60">
        <f t="shared" si="10"/>
        <v>0</v>
      </c>
    </row>
    <row r="27" spans="2:17" x14ac:dyDescent="0.45">
      <c r="B27" s="60" t="s">
        <v>146</v>
      </c>
      <c r="C27" s="60">
        <f t="shared" si="6"/>
        <v>0</v>
      </c>
      <c r="D27" s="60">
        <f t="shared" si="7"/>
        <v>0</v>
      </c>
      <c r="E27" s="280"/>
      <c r="F27" s="281"/>
      <c r="G27" s="338" t="str">
        <f t="shared" si="8"/>
        <v xml:space="preserve">1823,07 x ( 0 / 0 )  = </v>
      </c>
      <c r="H27" s="282">
        <f t="shared" si="9"/>
        <v>0</v>
      </c>
      <c r="I27" s="60">
        <f t="shared" si="10"/>
        <v>0</v>
      </c>
    </row>
    <row r="28" spans="2:17" x14ac:dyDescent="0.45">
      <c r="B28" s="60" t="s">
        <v>147</v>
      </c>
      <c r="C28" s="60">
        <f t="shared" si="6"/>
        <v>0</v>
      </c>
      <c r="D28" s="60">
        <f t="shared" si="7"/>
        <v>0</v>
      </c>
      <c r="E28" s="280"/>
      <c r="F28" s="281"/>
      <c r="G28" s="338" t="str">
        <f t="shared" si="8"/>
        <v xml:space="preserve">1823,07 x ( 0 / 0 )  = </v>
      </c>
      <c r="H28" s="282">
        <f t="shared" si="9"/>
        <v>0</v>
      </c>
      <c r="I28" s="60">
        <f t="shared" si="10"/>
        <v>0</v>
      </c>
    </row>
    <row r="29" spans="2:17" x14ac:dyDescent="0.45">
      <c r="B29" s="60" t="s">
        <v>148</v>
      </c>
      <c r="C29" s="60">
        <f t="shared" si="6"/>
        <v>0</v>
      </c>
      <c r="D29" s="60">
        <f t="shared" si="7"/>
        <v>0</v>
      </c>
      <c r="E29" s="280"/>
      <c r="F29" s="281"/>
      <c r="G29" s="338" t="str">
        <f t="shared" si="8"/>
        <v xml:space="preserve">1823,07 x ( 0 / 0 )  = </v>
      </c>
      <c r="H29" s="282">
        <f t="shared" si="9"/>
        <v>0</v>
      </c>
      <c r="I29" s="60">
        <f t="shared" si="10"/>
        <v>0</v>
      </c>
    </row>
    <row r="30" spans="2:17" x14ac:dyDescent="0.45">
      <c r="B30" s="60" t="s">
        <v>149</v>
      </c>
      <c r="C30" s="60">
        <f t="shared" si="6"/>
        <v>0</v>
      </c>
      <c r="D30" s="60">
        <f t="shared" si="7"/>
        <v>0</v>
      </c>
      <c r="E30" s="280"/>
      <c r="F30" s="281"/>
      <c r="G30" s="338" t="str">
        <f t="shared" si="8"/>
        <v xml:space="preserve">1823,07 x ( 0 / 0 )  = </v>
      </c>
      <c r="H30" s="282">
        <f t="shared" si="9"/>
        <v>0</v>
      </c>
      <c r="I30" s="60">
        <f t="shared" si="10"/>
        <v>0</v>
      </c>
    </row>
    <row r="31" spans="2:17" x14ac:dyDescent="0.45">
      <c r="B31" s="60" t="s">
        <v>150</v>
      </c>
      <c r="C31" s="60">
        <f t="shared" si="6"/>
        <v>0</v>
      </c>
      <c r="D31" s="60">
        <f t="shared" si="7"/>
        <v>0</v>
      </c>
      <c r="E31" s="280"/>
      <c r="F31" s="281"/>
      <c r="G31" s="338" t="str">
        <f t="shared" si="8"/>
        <v xml:space="preserve">1823,07 x ( 0 / 0 )  = </v>
      </c>
      <c r="H31" s="282">
        <f t="shared" si="9"/>
        <v>0</v>
      </c>
      <c r="I31" s="60">
        <f t="shared" si="10"/>
        <v>0</v>
      </c>
    </row>
    <row r="32" spans="2:17" x14ac:dyDescent="0.45">
      <c r="B32" s="60" t="s">
        <v>151</v>
      </c>
      <c r="C32" s="60">
        <f t="shared" si="6"/>
        <v>0</v>
      </c>
      <c r="D32" s="60">
        <f t="shared" si="7"/>
        <v>0</v>
      </c>
      <c r="E32" s="280"/>
      <c r="F32" s="281"/>
      <c r="G32" s="338" t="str">
        <f t="shared" si="8"/>
        <v xml:space="preserve">1823,07 x ( 0 / 0 )  = </v>
      </c>
      <c r="H32" s="282">
        <f t="shared" si="9"/>
        <v>0</v>
      </c>
      <c r="I32" s="60">
        <f t="shared" si="10"/>
        <v>0</v>
      </c>
    </row>
    <row r="33" spans="2:13" x14ac:dyDescent="0.45">
      <c r="E33" s="281"/>
      <c r="F33" s="281"/>
      <c r="G33" s="281"/>
      <c r="H33" s="281"/>
    </row>
    <row r="35" spans="2:13" ht="18" x14ac:dyDescent="0.55000000000000004">
      <c r="D35" s="339" t="s">
        <v>553</v>
      </c>
    </row>
    <row r="36" spans="2:13" ht="41.25" customHeight="1" x14ac:dyDescent="0.45">
      <c r="B36" s="89" t="s">
        <v>15</v>
      </c>
      <c r="C36" s="493" t="str">
        <f>"Calcul du coefficient (plafonné à : "&amp;TEXT($N$24,"0,0000")&amp;")"</f>
        <v>Calcul du coefficient (plafonné à : 0,3981)</v>
      </c>
      <c r="D36" s="493"/>
      <c r="E36" s="493"/>
      <c r="F36" s="493"/>
      <c r="G36" s="493"/>
      <c r="H36" s="490" t="s">
        <v>499</v>
      </c>
      <c r="I36" s="491"/>
      <c r="J36" s="492"/>
      <c r="K36" s="89" t="s">
        <v>497</v>
      </c>
      <c r="L36" s="89" t="s">
        <v>552</v>
      </c>
      <c r="M36" s="387"/>
    </row>
    <row r="37" spans="2:13" x14ac:dyDescent="0.45">
      <c r="B37" s="60" t="s">
        <v>140</v>
      </c>
      <c r="C37" s="90"/>
      <c r="D37" s="340"/>
      <c r="E37" s="340"/>
      <c r="F37" s="342" t="str">
        <f t="shared" ref="F37:F48" si="11">"( 0,02 + ( "&amp;$M$24&amp;" * (( 1/2) * (( 3* "&amp;I21&amp;" / "&amp;L3&amp;" ) - 1 )) ^ 1,75 ))="</f>
        <v>( 0,02 + ( 0,3781 * (( 1/2) * (( 3* 0 / 0 ) - 1 )) ^ 1,75 ))=</v>
      </c>
      <c r="G37" s="394">
        <f>IFERROR((0.02+($M$24*((1/2)*((3*I21/L3)-1))^1.75)),0)</f>
        <v>0</v>
      </c>
      <c r="H37" s="90"/>
      <c r="I37" s="340" t="str">
        <f t="shared" ref="I37:I48" si="12">L3&amp;" x "&amp;IF(G37&gt;0,G37,0)&amp;" ="</f>
        <v>0 x 0 =</v>
      </c>
      <c r="J37" s="340">
        <f t="shared" ref="J37:J48" si="13">ROUND(L3*IF(G37&gt;0,G37,0),2)</f>
        <v>0</v>
      </c>
      <c r="K37" s="22">
        <f>IF(J37-SUM(J36)&gt;0,J37-SUM(J36),0)</f>
        <v>0</v>
      </c>
      <c r="L37" s="60">
        <f>IF(J37-SUM(J36)&lt;0,J37-SUM(J36),0)</f>
        <v>0</v>
      </c>
      <c r="M37" s="6">
        <f>IF(K37&gt;0,K37,L37)</f>
        <v>0</v>
      </c>
    </row>
    <row r="38" spans="2:13" x14ac:dyDescent="0.45">
      <c r="B38" s="60" t="s">
        <v>141</v>
      </c>
      <c r="C38" s="90"/>
      <c r="D38" s="340"/>
      <c r="E38" s="340"/>
      <c r="F38" s="342" t="str">
        <f t="shared" si="11"/>
        <v>( 0,02 + ( 0,3781 * (( 1/2) * (( 3* 0 / 0 ) - 1 )) ^ 1,75 ))=</v>
      </c>
      <c r="G38" s="394">
        <f t="shared" ref="G38:G48" si="14">IFERROR((0.02+($M$24*((1/2)*((3*I22/L4)-1))^1.75)),0)</f>
        <v>0</v>
      </c>
      <c r="H38" s="90"/>
      <c r="I38" s="340" t="str">
        <f t="shared" si="12"/>
        <v>0 x 0 =</v>
      </c>
      <c r="J38" s="340">
        <f t="shared" si="13"/>
        <v>0</v>
      </c>
      <c r="K38" s="283">
        <f t="shared" ref="K38:K48" si="15">IF(J38-SUM(J37)&gt;0,J38-SUM(J37),0)</f>
        <v>0</v>
      </c>
      <c r="L38" s="60">
        <f t="shared" ref="L38:L48" si="16">IF(J38-SUM(J37)&lt;0,J38-SUM(J37),0)</f>
        <v>0</v>
      </c>
      <c r="M38" s="6">
        <f t="shared" ref="M38:M48" si="17">IF(K38&gt;0,K38,L38)</f>
        <v>0</v>
      </c>
    </row>
    <row r="39" spans="2:13" x14ac:dyDescent="0.45">
      <c r="B39" s="60" t="s">
        <v>142</v>
      </c>
      <c r="C39" s="90"/>
      <c r="D39" s="340"/>
      <c r="E39" s="340"/>
      <c r="F39" s="342" t="str">
        <f t="shared" si="11"/>
        <v>( 0,02 + ( 0,3781 * (( 1/2) * (( 3* 0 / 0 ) - 1 )) ^ 1,75 ))=</v>
      </c>
      <c r="G39" s="394">
        <f t="shared" si="14"/>
        <v>0</v>
      </c>
      <c r="H39" s="90"/>
      <c r="I39" s="340" t="str">
        <f t="shared" si="12"/>
        <v>0 x 0 =</v>
      </c>
      <c r="J39" s="340">
        <f t="shared" si="13"/>
        <v>0</v>
      </c>
      <c r="K39" s="283">
        <f t="shared" si="15"/>
        <v>0</v>
      </c>
      <c r="L39" s="60">
        <f t="shared" si="16"/>
        <v>0</v>
      </c>
      <c r="M39" s="6">
        <f t="shared" si="17"/>
        <v>0</v>
      </c>
    </row>
    <row r="40" spans="2:13" x14ac:dyDescent="0.45">
      <c r="B40" s="60" t="s">
        <v>143</v>
      </c>
      <c r="C40" s="90"/>
      <c r="D40" s="340"/>
      <c r="E40" s="340"/>
      <c r="F40" s="342" t="str">
        <f t="shared" si="11"/>
        <v>( 0,02 + ( 0,3781 * (( 1/2) * (( 3* 0 / 0 ) - 1 )) ^ 1,75 ))=</v>
      </c>
      <c r="G40" s="394">
        <f t="shared" si="14"/>
        <v>0</v>
      </c>
      <c r="H40" s="90"/>
      <c r="I40" s="340" t="str">
        <f t="shared" si="12"/>
        <v>0 x 0 =</v>
      </c>
      <c r="J40" s="340">
        <f t="shared" si="13"/>
        <v>0</v>
      </c>
      <c r="K40" s="283">
        <f t="shared" si="15"/>
        <v>0</v>
      </c>
      <c r="L40" s="60">
        <f t="shared" si="16"/>
        <v>0</v>
      </c>
      <c r="M40" s="6">
        <f t="shared" si="17"/>
        <v>0</v>
      </c>
    </row>
    <row r="41" spans="2:13" x14ac:dyDescent="0.45">
      <c r="B41" s="60" t="s">
        <v>144</v>
      </c>
      <c r="C41" s="90"/>
      <c r="D41" s="340"/>
      <c r="E41" s="340"/>
      <c r="F41" s="342" t="str">
        <f t="shared" si="11"/>
        <v>( 0,02 + ( 0,3781 * (( 1/2) * (( 3* 0 / 0 ) - 1 )) ^ 1,75 ))=</v>
      </c>
      <c r="G41" s="394">
        <f t="shared" si="14"/>
        <v>0</v>
      </c>
      <c r="H41" s="90"/>
      <c r="I41" s="340" t="str">
        <f t="shared" si="12"/>
        <v>0 x 0 =</v>
      </c>
      <c r="J41" s="340">
        <f t="shared" si="13"/>
        <v>0</v>
      </c>
      <c r="K41" s="283">
        <f t="shared" si="15"/>
        <v>0</v>
      </c>
      <c r="L41" s="60">
        <f t="shared" si="16"/>
        <v>0</v>
      </c>
      <c r="M41" s="6">
        <f t="shared" si="17"/>
        <v>0</v>
      </c>
    </row>
    <row r="42" spans="2:13" x14ac:dyDescent="0.45">
      <c r="B42" s="60" t="s">
        <v>145</v>
      </c>
      <c r="C42" s="90"/>
      <c r="D42" s="340"/>
      <c r="E42" s="340"/>
      <c r="F42" s="342" t="str">
        <f t="shared" si="11"/>
        <v>( 0,02 + ( 0,3781 * (( 1/2) * (( 3* 0 / 0 ) - 1 )) ^ 1,75 ))=</v>
      </c>
      <c r="G42" s="394">
        <f t="shared" si="14"/>
        <v>0</v>
      </c>
      <c r="H42" s="90"/>
      <c r="I42" s="340" t="str">
        <f t="shared" si="12"/>
        <v>0 x 0 =</v>
      </c>
      <c r="J42" s="340">
        <f t="shared" si="13"/>
        <v>0</v>
      </c>
      <c r="K42" s="283">
        <f t="shared" si="15"/>
        <v>0</v>
      </c>
      <c r="L42" s="60">
        <f t="shared" si="16"/>
        <v>0</v>
      </c>
      <c r="M42" s="6">
        <f t="shared" si="17"/>
        <v>0</v>
      </c>
    </row>
    <row r="43" spans="2:13" x14ac:dyDescent="0.45">
      <c r="B43" s="60" t="s">
        <v>146</v>
      </c>
      <c r="C43" s="90"/>
      <c r="D43" s="340"/>
      <c r="E43" s="340"/>
      <c r="F43" s="342" t="str">
        <f t="shared" si="11"/>
        <v>( 0,02 + ( 0,3781 * (( 1/2) * (( 3* 0 / 0 ) - 1 )) ^ 1,75 ))=</v>
      </c>
      <c r="G43" s="394">
        <f t="shared" si="14"/>
        <v>0</v>
      </c>
      <c r="H43" s="90"/>
      <c r="I43" s="340" t="str">
        <f t="shared" si="12"/>
        <v>0 x 0 =</v>
      </c>
      <c r="J43" s="340">
        <f t="shared" si="13"/>
        <v>0</v>
      </c>
      <c r="K43" s="283">
        <f t="shared" si="15"/>
        <v>0</v>
      </c>
      <c r="L43" s="60">
        <f t="shared" si="16"/>
        <v>0</v>
      </c>
      <c r="M43" s="6">
        <f t="shared" si="17"/>
        <v>0</v>
      </c>
    </row>
    <row r="44" spans="2:13" x14ac:dyDescent="0.45">
      <c r="B44" s="60" t="s">
        <v>147</v>
      </c>
      <c r="C44" s="90"/>
      <c r="D44" s="340"/>
      <c r="E44" s="340"/>
      <c r="F44" s="342" t="str">
        <f t="shared" si="11"/>
        <v>( 0,02 + ( 0,3781 * (( 1/2) * (( 3* 0 / 0 ) - 1 )) ^ 1,75 ))=</v>
      </c>
      <c r="G44" s="394">
        <f t="shared" si="14"/>
        <v>0</v>
      </c>
      <c r="H44" s="90"/>
      <c r="I44" s="340" t="str">
        <f t="shared" si="12"/>
        <v>0 x 0 =</v>
      </c>
      <c r="J44" s="340">
        <f t="shared" si="13"/>
        <v>0</v>
      </c>
      <c r="K44" s="283">
        <f t="shared" si="15"/>
        <v>0</v>
      </c>
      <c r="L44" s="60">
        <f t="shared" si="16"/>
        <v>0</v>
      </c>
      <c r="M44" s="6">
        <f t="shared" si="17"/>
        <v>0</v>
      </c>
    </row>
    <row r="45" spans="2:13" x14ac:dyDescent="0.45">
      <c r="B45" s="60" t="s">
        <v>148</v>
      </c>
      <c r="C45" s="90"/>
      <c r="D45" s="340"/>
      <c r="E45" s="340"/>
      <c r="F45" s="342" t="str">
        <f t="shared" si="11"/>
        <v>( 0,02 + ( 0,3781 * (( 1/2) * (( 3* 0 / 0 ) - 1 )) ^ 1,75 ))=</v>
      </c>
      <c r="G45" s="394">
        <f t="shared" si="14"/>
        <v>0</v>
      </c>
      <c r="H45" s="90"/>
      <c r="I45" s="340" t="str">
        <f t="shared" si="12"/>
        <v>0 x 0 =</v>
      </c>
      <c r="J45" s="340">
        <f t="shared" si="13"/>
        <v>0</v>
      </c>
      <c r="K45" s="283">
        <f t="shared" si="15"/>
        <v>0</v>
      </c>
      <c r="L45" s="60">
        <f t="shared" si="16"/>
        <v>0</v>
      </c>
      <c r="M45" s="6">
        <f t="shared" si="17"/>
        <v>0</v>
      </c>
    </row>
    <row r="46" spans="2:13" x14ac:dyDescent="0.45">
      <c r="B46" s="60" t="s">
        <v>149</v>
      </c>
      <c r="F46" s="342" t="str">
        <f t="shared" si="11"/>
        <v>( 0,02 + ( 0,3781 * (( 1/2) * (( 3* 0 / 0 ) - 1 )) ^ 1,75 ))=</v>
      </c>
      <c r="G46" s="394">
        <f t="shared" si="14"/>
        <v>0</v>
      </c>
      <c r="H46" s="90"/>
      <c r="I46" s="340" t="str">
        <f t="shared" si="12"/>
        <v>0 x 0 =</v>
      </c>
      <c r="J46" s="340">
        <f t="shared" si="13"/>
        <v>0</v>
      </c>
      <c r="K46" s="283">
        <f t="shared" si="15"/>
        <v>0</v>
      </c>
      <c r="L46" s="60">
        <f t="shared" si="16"/>
        <v>0</v>
      </c>
      <c r="M46" s="6">
        <f t="shared" si="17"/>
        <v>0</v>
      </c>
    </row>
    <row r="47" spans="2:13" x14ac:dyDescent="0.45">
      <c r="B47" s="60" t="s">
        <v>150</v>
      </c>
      <c r="C47" s="90"/>
      <c r="D47" s="340"/>
      <c r="E47" s="340"/>
      <c r="F47" s="342" t="str">
        <f t="shared" si="11"/>
        <v>( 0,02 + ( 0,3781 * (( 1/2) * (( 3* 0 / 0 ) - 1 )) ^ 1,75 ))=</v>
      </c>
      <c r="G47" s="394">
        <f t="shared" si="14"/>
        <v>0</v>
      </c>
      <c r="H47" s="90"/>
      <c r="I47" s="340" t="str">
        <f t="shared" si="12"/>
        <v>0 x 0 =</v>
      </c>
      <c r="J47" s="340">
        <f t="shared" si="13"/>
        <v>0</v>
      </c>
      <c r="K47" s="283">
        <f t="shared" si="15"/>
        <v>0</v>
      </c>
      <c r="L47" s="60">
        <f t="shared" si="16"/>
        <v>0</v>
      </c>
      <c r="M47" s="6">
        <f t="shared" si="17"/>
        <v>0</v>
      </c>
    </row>
    <row r="48" spans="2:13" x14ac:dyDescent="0.45">
      <c r="B48" s="60" t="s">
        <v>151</v>
      </c>
      <c r="C48" s="90"/>
      <c r="D48" s="340"/>
      <c r="E48" s="340"/>
      <c r="F48" s="342" t="str">
        <f t="shared" si="11"/>
        <v>( 0,02 + ( 0,3781 * (( 1/2) * (( 3* 0 / 0 ) - 1 )) ^ 1,75 ))=</v>
      </c>
      <c r="G48" s="394">
        <f t="shared" si="14"/>
        <v>0</v>
      </c>
      <c r="H48" s="90"/>
      <c r="I48" s="340" t="str">
        <f t="shared" si="12"/>
        <v>0 x 0 =</v>
      </c>
      <c r="J48" s="340">
        <f t="shared" si="13"/>
        <v>0</v>
      </c>
      <c r="K48" s="283">
        <f t="shared" si="15"/>
        <v>0</v>
      </c>
      <c r="L48" s="60">
        <f t="shared" si="16"/>
        <v>0</v>
      </c>
      <c r="M48" s="6">
        <f t="shared" si="17"/>
        <v>0</v>
      </c>
    </row>
    <row r="49" spans="9:13" x14ac:dyDescent="0.45">
      <c r="I49" s="280"/>
      <c r="K49" s="60">
        <f>SUM(K37:K48)</f>
        <v>0</v>
      </c>
      <c r="L49" s="60"/>
    </row>
    <row r="50" spans="9:13" x14ac:dyDescent="0.45">
      <c r="I50" s="341"/>
      <c r="L50" s="60">
        <f>SUM(L37:L48)</f>
        <v>0</v>
      </c>
    </row>
    <row r="51" spans="9:13" x14ac:dyDescent="0.45">
      <c r="I51" s="125"/>
      <c r="J51" s="126"/>
      <c r="K51" s="343" t="s">
        <v>498</v>
      </c>
      <c r="L51" s="60">
        <f>K49+L50</f>
        <v>0</v>
      </c>
    </row>
    <row r="53" spans="9:13" x14ac:dyDescent="0.45">
      <c r="L53" t="s">
        <v>169</v>
      </c>
      <c r="M53" s="6">
        <f>IF(N7="janvier",M37,IF(N7="février",M38,IF(N7="mars",M39,IF(N7="avril",M40,IF(N7="mai",M41,IF(N7="juin",M42,IF(N7="juillet",M43,IF(N7="août",M44,IF(N7="septembre",M45,IF(N7="octobre",M46,IF(N7="novembre",M47,M48)))))))))))</f>
        <v>0</v>
      </c>
    </row>
  </sheetData>
  <mergeCells count="3">
    <mergeCell ref="E20:H20"/>
    <mergeCell ref="C36:G36"/>
    <mergeCell ref="H36:J36"/>
  </mergeCells>
  <phoneticPr fontId="35" type="noConversion"/>
  <conditionalFormatting sqref="L37:L48">
    <cfRule type="cellIs" dxfId="1" priority="2" operator="lessThan">
      <formula>0</formula>
    </cfRule>
  </conditionalFormatting>
  <conditionalFormatting sqref="L50:L5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F2D7-270F-4928-82E3-DE57708F5A5B}">
  <dimension ref="B2:P20"/>
  <sheetViews>
    <sheetView workbookViewId="0">
      <selection activeCell="M8" sqref="M8"/>
    </sheetView>
  </sheetViews>
  <sheetFormatPr baseColWidth="10" defaultRowHeight="14.25" x14ac:dyDescent="0.45"/>
  <cols>
    <col min="1" max="1" width="5.19921875" customWidth="1"/>
    <col min="5" max="5" width="20.33203125" customWidth="1"/>
  </cols>
  <sheetData>
    <row r="2" spans="2:16" x14ac:dyDescent="0.45">
      <c r="B2" t="s">
        <v>170</v>
      </c>
      <c r="G2" s="82">
        <v>2000</v>
      </c>
      <c r="J2" t="s">
        <v>599</v>
      </c>
      <c r="M2" s="93">
        <v>600</v>
      </c>
    </row>
    <row r="3" spans="2:16" x14ac:dyDescent="0.45">
      <c r="B3" t="s">
        <v>171</v>
      </c>
      <c r="G3" s="60"/>
      <c r="H3" s="92" t="s">
        <v>172</v>
      </c>
    </row>
    <row r="4" spans="2:16" x14ac:dyDescent="0.45">
      <c r="B4" t="s">
        <v>173</v>
      </c>
      <c r="G4" s="82">
        <v>145</v>
      </c>
      <c r="H4" s="92" t="s">
        <v>174</v>
      </c>
    </row>
    <row r="6" spans="2:16" x14ac:dyDescent="0.45">
      <c r="B6" s="495" t="s">
        <v>175</v>
      </c>
      <c r="C6" s="495"/>
      <c r="D6" s="495"/>
      <c r="E6" s="496" t="s">
        <v>176</v>
      </c>
      <c r="F6" s="497" t="s">
        <v>177</v>
      </c>
      <c r="G6" s="497" t="s">
        <v>178</v>
      </c>
      <c r="H6" s="497" t="s">
        <v>179</v>
      </c>
      <c r="J6" s="148" t="s">
        <v>180</v>
      </c>
      <c r="K6" s="148"/>
      <c r="L6" s="148"/>
      <c r="N6" s="9" t="s">
        <v>609</v>
      </c>
      <c r="O6" s="9">
        <v>646.52</v>
      </c>
      <c r="P6" s="418">
        <v>46023</v>
      </c>
    </row>
    <row r="7" spans="2:16" x14ac:dyDescent="0.45">
      <c r="B7" s="64" t="s">
        <v>181</v>
      </c>
      <c r="C7" s="64" t="s">
        <v>182</v>
      </c>
      <c r="D7" s="64" t="s">
        <v>81</v>
      </c>
      <c r="E7" s="496"/>
      <c r="F7" s="497"/>
      <c r="G7" s="497"/>
      <c r="H7" s="497"/>
      <c r="J7" t="s">
        <v>183</v>
      </c>
      <c r="L7" s="388">
        <v>646.52</v>
      </c>
      <c r="N7" s="9"/>
      <c r="O7" s="9">
        <v>651.69000000000005</v>
      </c>
      <c r="P7" s="418">
        <v>46113</v>
      </c>
    </row>
    <row r="8" spans="2:16" x14ac:dyDescent="0.45">
      <c r="B8" s="60" t="s">
        <v>184</v>
      </c>
      <c r="C8" s="82">
        <v>0</v>
      </c>
      <c r="D8" s="82">
        <f>IF($G$3&gt;0,373.33+($G$3*$G$4),373.33)</f>
        <v>373.33</v>
      </c>
      <c r="E8" s="82">
        <f>D8-C8</f>
        <v>373.33</v>
      </c>
      <c r="F8" s="82">
        <f>IF($G$2&lt;C8,0,IF($G$2&lt;D8,$G$2-C8,E8))</f>
        <v>373.33</v>
      </c>
      <c r="G8" s="94">
        <v>0.05</v>
      </c>
      <c r="H8" s="82">
        <f>F8*G8</f>
        <v>18.666499999999999</v>
      </c>
    </row>
    <row r="9" spans="2:16" x14ac:dyDescent="0.45">
      <c r="B9" s="60" t="s">
        <v>185</v>
      </c>
      <c r="C9" s="82">
        <f>D8</f>
        <v>373.33</v>
      </c>
      <c r="D9" s="82">
        <f>IF($G$3&gt;0,727.5+($G$3*$G$4),727.5)</f>
        <v>727.5</v>
      </c>
      <c r="E9" s="82">
        <f t="shared" ref="E9:E13" si="0">D9-C9</f>
        <v>354.17</v>
      </c>
      <c r="F9" s="82">
        <f t="shared" ref="F9:F14" si="1">IF($G$2&lt;C9,0,IF($G$2&lt;D9,$G$2-C9,E9))</f>
        <v>354.17</v>
      </c>
      <c r="G9" s="77">
        <v>0.1</v>
      </c>
      <c r="H9" s="82">
        <f t="shared" ref="H9:H14" si="2">F9*G9</f>
        <v>35.417000000000002</v>
      </c>
      <c r="J9" s="148" t="s">
        <v>186</v>
      </c>
      <c r="K9" s="148"/>
      <c r="L9" s="148"/>
    </row>
    <row r="10" spans="2:16" x14ac:dyDescent="0.45">
      <c r="B10" s="60" t="s">
        <v>187</v>
      </c>
      <c r="C10" s="82">
        <f t="shared" ref="C10:C14" si="3">D9</f>
        <v>727.5</v>
      </c>
      <c r="D10" s="82">
        <f>IF($G$3&gt;0,1083.33+($G$3*$G$4),1083.33)</f>
        <v>1083.33</v>
      </c>
      <c r="E10" s="82">
        <f t="shared" si="0"/>
        <v>355.82999999999993</v>
      </c>
      <c r="F10" s="82">
        <f t="shared" si="1"/>
        <v>355.82999999999993</v>
      </c>
      <c r="G10" s="77">
        <v>0.2</v>
      </c>
      <c r="H10" s="82">
        <f t="shared" si="2"/>
        <v>71.165999999999983</v>
      </c>
      <c r="J10" t="s">
        <v>188</v>
      </c>
      <c r="L10" s="145">
        <f>G2-L7-L13</f>
        <v>881.77691700000003</v>
      </c>
    </row>
    <row r="11" spans="2:16" x14ac:dyDescent="0.45">
      <c r="B11" s="60" t="s">
        <v>189</v>
      </c>
      <c r="C11" s="82">
        <f t="shared" si="3"/>
        <v>1083.33</v>
      </c>
      <c r="D11" s="82">
        <f>IF($G$3&gt;0,1435.83+($G$3*$G$4),1435.83)</f>
        <v>1435.83</v>
      </c>
      <c r="E11" s="82">
        <f t="shared" si="0"/>
        <v>352.5</v>
      </c>
      <c r="F11" s="82">
        <f t="shared" si="1"/>
        <v>352.5</v>
      </c>
      <c r="G11" s="77">
        <v>0.25</v>
      </c>
      <c r="H11" s="82">
        <f t="shared" si="2"/>
        <v>88.125</v>
      </c>
    </row>
    <row r="12" spans="2:16" x14ac:dyDescent="0.45">
      <c r="B12" s="60" t="s">
        <v>190</v>
      </c>
      <c r="C12" s="82">
        <f t="shared" si="3"/>
        <v>1435.83</v>
      </c>
      <c r="D12" s="82">
        <f>IF($G$3&gt;0,1789.17+($G$3*$G$4),1789.17)</f>
        <v>1789.17</v>
      </c>
      <c r="E12" s="82">
        <f t="shared" si="0"/>
        <v>353.34000000000015</v>
      </c>
      <c r="F12" s="82">
        <f t="shared" si="1"/>
        <v>353.34000000000015</v>
      </c>
      <c r="G12" s="77">
        <v>0.33329999999999999</v>
      </c>
      <c r="H12" s="82">
        <f t="shared" si="2"/>
        <v>117.76822200000004</v>
      </c>
      <c r="J12" s="148" t="s">
        <v>191</v>
      </c>
      <c r="K12" s="148"/>
      <c r="L12" s="148"/>
    </row>
    <row r="13" spans="2:16" x14ac:dyDescent="0.45">
      <c r="B13" s="60" t="s">
        <v>192</v>
      </c>
      <c r="C13" s="82">
        <f t="shared" si="3"/>
        <v>1789.17</v>
      </c>
      <c r="D13" s="82">
        <f>IF($G$3&gt;0,2150.83+($G$3*$G$4),2150.83)</f>
        <v>2150.83</v>
      </c>
      <c r="E13" s="82">
        <f t="shared" si="0"/>
        <v>361.65999999999985</v>
      </c>
      <c r="F13" s="82">
        <f t="shared" si="1"/>
        <v>210.82999999999993</v>
      </c>
      <c r="G13" s="77">
        <v>0.66669999999999996</v>
      </c>
      <c r="H13" s="82">
        <f t="shared" si="2"/>
        <v>140.56036099999994</v>
      </c>
      <c r="J13" t="s">
        <v>188</v>
      </c>
      <c r="L13" s="145">
        <f>H15</f>
        <v>471.70308299999999</v>
      </c>
    </row>
    <row r="14" spans="2:16" x14ac:dyDescent="0.45">
      <c r="B14" s="60" t="s">
        <v>193</v>
      </c>
      <c r="C14" s="82">
        <f t="shared" si="3"/>
        <v>2150.83</v>
      </c>
      <c r="D14" s="413" t="s">
        <v>194</v>
      </c>
      <c r="E14" s="82"/>
      <c r="F14" s="82">
        <f t="shared" si="1"/>
        <v>0</v>
      </c>
      <c r="G14" s="77">
        <v>1</v>
      </c>
      <c r="H14" s="82">
        <f t="shared" si="2"/>
        <v>0</v>
      </c>
    </row>
    <row r="15" spans="2:16" x14ac:dyDescent="0.45">
      <c r="F15" s="498" t="s">
        <v>179</v>
      </c>
      <c r="G15" s="498"/>
      <c r="H15" s="95">
        <f>SUM(H8:H14)</f>
        <v>471.70308299999999</v>
      </c>
    </row>
    <row r="17" spans="4:8" x14ac:dyDescent="0.45">
      <c r="D17" s="494" t="s">
        <v>195</v>
      </c>
      <c r="E17" s="494"/>
      <c r="F17" s="494"/>
      <c r="G17" s="96">
        <f>M2</f>
        <v>600</v>
      </c>
      <c r="H17" s="97">
        <f>IF(G17&gt;G19,G19,G17)</f>
        <v>600</v>
      </c>
    </row>
    <row r="18" spans="4:8" x14ac:dyDescent="0.45">
      <c r="D18" s="494" t="s">
        <v>196</v>
      </c>
      <c r="E18" s="494"/>
      <c r="F18" s="494"/>
      <c r="G18" s="96">
        <f>IF(L10&lt;M2,H15-(M2-L10),H15)</f>
        <v>471.70308299999999</v>
      </c>
      <c r="H18" s="97">
        <f>IF(G18&gt;0,G18,0)</f>
        <v>471.70308299999999</v>
      </c>
    </row>
    <row r="19" spans="4:8" x14ac:dyDescent="0.45">
      <c r="D19" s="494" t="s">
        <v>197</v>
      </c>
      <c r="E19" s="494"/>
      <c r="F19" s="494"/>
      <c r="G19" s="96">
        <f>G17+G18</f>
        <v>1071.7030829999999</v>
      </c>
      <c r="H19" s="97">
        <f>G19</f>
        <v>1071.7030829999999</v>
      </c>
    </row>
    <row r="20" spans="4:8" x14ac:dyDescent="0.45">
      <c r="D20" s="494" t="s">
        <v>198</v>
      </c>
      <c r="E20" s="494"/>
      <c r="F20" s="494"/>
      <c r="G20" s="98"/>
      <c r="H20" s="99">
        <f>G2-G19</f>
        <v>928.29691700000012</v>
      </c>
    </row>
  </sheetData>
  <mergeCells count="10">
    <mergeCell ref="G6:G7"/>
    <mergeCell ref="H6:H7"/>
    <mergeCell ref="F15:G15"/>
    <mergeCell ref="D17:F17"/>
    <mergeCell ref="D18:F18"/>
    <mergeCell ref="D19:F19"/>
    <mergeCell ref="D20:F20"/>
    <mergeCell ref="B6:D6"/>
    <mergeCell ref="E6:E7"/>
    <mergeCell ref="F6:F7"/>
  </mergeCells>
  <dataValidations count="1">
    <dataValidation type="list" allowBlank="1" showInputMessage="1" showErrorMessage="1" sqref="L7" xr:uid="{6CA03B21-0688-4EA2-A46B-CC78F9A2DCEF}">
      <formula1>$O$6:$O$7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10A3-7DDF-4AD1-B006-15C9A9A8E14F}">
  <dimension ref="B2:N51"/>
  <sheetViews>
    <sheetView zoomScale="90" zoomScaleNormal="90" workbookViewId="0">
      <selection activeCell="D16" sqref="D16"/>
    </sheetView>
  </sheetViews>
  <sheetFormatPr baseColWidth="10" defaultRowHeight="14.25" x14ac:dyDescent="0.45"/>
  <cols>
    <col min="1" max="1" width="4.265625" customWidth="1"/>
    <col min="11" max="11" width="12.6640625" customWidth="1"/>
    <col min="12" max="12" width="2.3984375" customWidth="1"/>
    <col min="13" max="13" width="13" customWidth="1"/>
  </cols>
  <sheetData>
    <row r="2" spans="2:10" x14ac:dyDescent="0.45">
      <c r="B2" s="498" t="s">
        <v>199</v>
      </c>
      <c r="C2" s="498"/>
      <c r="D2" s="498"/>
      <c r="E2" s="498"/>
      <c r="F2" s="498"/>
      <c r="G2" s="498"/>
      <c r="H2" s="498"/>
      <c r="I2" s="498"/>
      <c r="J2" s="498"/>
    </row>
    <row r="3" spans="2:10" x14ac:dyDescent="0.45">
      <c r="B3" t="s">
        <v>200</v>
      </c>
      <c r="E3" s="83"/>
      <c r="G3" t="s">
        <v>201</v>
      </c>
      <c r="J3" s="93" t="s">
        <v>202</v>
      </c>
    </row>
    <row r="4" spans="2:10" x14ac:dyDescent="0.45">
      <c r="G4" s="100" t="s">
        <v>203</v>
      </c>
    </row>
    <row r="5" spans="2:10" x14ac:dyDescent="0.45">
      <c r="B5" s="499" t="s">
        <v>204</v>
      </c>
      <c r="C5" s="499"/>
      <c r="D5" s="499"/>
      <c r="E5" s="499"/>
      <c r="F5" s="499"/>
      <c r="G5" s="499"/>
      <c r="H5" s="499"/>
      <c r="I5" s="499"/>
      <c r="J5" s="499"/>
    </row>
    <row r="6" spans="2:10" x14ac:dyDescent="0.45">
      <c r="B6" s="101" t="s">
        <v>205</v>
      </c>
      <c r="C6" s="101"/>
      <c r="D6" s="101"/>
      <c r="E6" s="101"/>
      <c r="F6" s="101"/>
      <c r="G6" s="9" t="s">
        <v>202</v>
      </c>
      <c r="H6" s="9"/>
      <c r="I6" s="9"/>
      <c r="J6" s="9"/>
    </row>
    <row r="7" spans="2:10" x14ac:dyDescent="0.45">
      <c r="B7" t="s">
        <v>206</v>
      </c>
      <c r="F7" s="93"/>
      <c r="G7" t="s">
        <v>207</v>
      </c>
      <c r="J7" s="93"/>
    </row>
    <row r="8" spans="2:10" x14ac:dyDescent="0.45">
      <c r="B8" t="s">
        <v>208</v>
      </c>
      <c r="F8" s="93"/>
      <c r="G8" t="s">
        <v>209</v>
      </c>
      <c r="J8" s="93"/>
    </row>
    <row r="9" spans="2:10" x14ac:dyDescent="0.45">
      <c r="B9" t="s">
        <v>210</v>
      </c>
      <c r="F9" s="82" t="e">
        <f>E3/F7*F8</f>
        <v>#DIV/0!</v>
      </c>
      <c r="G9" t="s">
        <v>210</v>
      </c>
      <c r="J9" s="82" t="e">
        <f>E3/J7*J8</f>
        <v>#DIV/0!</v>
      </c>
    </row>
    <row r="11" spans="2:10" x14ac:dyDescent="0.45">
      <c r="B11" s="499" t="s">
        <v>211</v>
      </c>
      <c r="C11" s="499"/>
      <c r="D11" s="499"/>
      <c r="E11" s="499"/>
      <c r="F11" s="499"/>
      <c r="G11" s="499"/>
      <c r="H11" s="499"/>
      <c r="I11" s="499"/>
      <c r="J11" s="499"/>
    </row>
    <row r="12" spans="2:10" x14ac:dyDescent="0.45">
      <c r="B12" t="s">
        <v>212</v>
      </c>
      <c r="D12" s="83"/>
      <c r="E12" s="82">
        <f>IF(D12&gt;=COTISATIONS!$F$74,COTISATIONS!$F$74,MALADIE!D12)</f>
        <v>0</v>
      </c>
    </row>
    <row r="13" spans="2:10" x14ac:dyDescent="0.45">
      <c r="B13" t="s">
        <v>213</v>
      </c>
      <c r="D13" s="83"/>
      <c r="E13" s="82">
        <f>IF(D13&gt;=COTISATIONS!$F$74,COTISATIONS!$F$74,MALADIE!D13)</f>
        <v>0</v>
      </c>
    </row>
    <row r="14" spans="2:10" x14ac:dyDescent="0.45">
      <c r="B14" t="s">
        <v>214</v>
      </c>
      <c r="D14" s="83"/>
      <c r="E14" s="82">
        <f>IF(D14&gt;=COTISATIONS!$F$74,COTISATIONS!$F$74,MALADIE!D14)</f>
        <v>0</v>
      </c>
    </row>
    <row r="16" spans="2:10" x14ac:dyDescent="0.45">
      <c r="B16" t="s">
        <v>215</v>
      </c>
      <c r="D16" s="82">
        <v>41.95</v>
      </c>
    </row>
    <row r="17" spans="2:10" x14ac:dyDescent="0.45">
      <c r="B17" t="s">
        <v>216</v>
      </c>
      <c r="D17" s="82">
        <f>(E12+E13+E14)/91.25</f>
        <v>0</v>
      </c>
    </row>
    <row r="18" spans="2:10" x14ac:dyDescent="0.45">
      <c r="B18" t="s">
        <v>217</v>
      </c>
      <c r="D18" s="82">
        <f>IF(D17*50%&gt;D16,D16,D17*50%)</f>
        <v>0</v>
      </c>
      <c r="E18" s="82">
        <f>F21*D18</f>
        <v>0</v>
      </c>
    </row>
    <row r="20" spans="2:10" x14ac:dyDescent="0.45">
      <c r="B20" s="499" t="s">
        <v>218</v>
      </c>
      <c r="C20" s="499"/>
      <c r="D20" s="499"/>
      <c r="E20" s="499"/>
      <c r="F20" s="499"/>
      <c r="G20" s="499"/>
      <c r="H20" s="499"/>
      <c r="I20" s="499"/>
      <c r="J20" s="499"/>
    </row>
    <row r="21" spans="2:10" x14ac:dyDescent="0.45">
      <c r="B21" t="s">
        <v>218</v>
      </c>
      <c r="F21" s="60">
        <f>F8-3</f>
        <v>-3</v>
      </c>
    </row>
    <row r="23" spans="2:10" x14ac:dyDescent="0.45">
      <c r="B23" s="499" t="s">
        <v>219</v>
      </c>
      <c r="C23" s="499"/>
      <c r="D23" s="499"/>
      <c r="E23" s="499"/>
      <c r="F23" s="499"/>
      <c r="G23" s="499"/>
      <c r="H23" s="499"/>
      <c r="I23" s="499"/>
      <c r="J23" s="499"/>
    </row>
    <row r="24" spans="2:10" x14ac:dyDescent="0.45">
      <c r="B24" s="9" t="s">
        <v>202</v>
      </c>
      <c r="C24" s="9"/>
      <c r="D24" s="9"/>
      <c r="E24" s="9"/>
      <c r="F24" s="9"/>
      <c r="G24" s="101" t="s">
        <v>205</v>
      </c>
      <c r="H24" s="101"/>
      <c r="I24" s="101"/>
      <c r="J24" s="101"/>
    </row>
    <row r="25" spans="2:10" x14ac:dyDescent="0.45">
      <c r="B25" t="s">
        <v>220</v>
      </c>
      <c r="F25" s="60">
        <f>J8-35</f>
        <v>-35</v>
      </c>
      <c r="J25" s="60">
        <f>F8-7</f>
        <v>-7</v>
      </c>
    </row>
    <row r="27" spans="2:10" x14ac:dyDescent="0.45">
      <c r="B27" s="499" t="s">
        <v>221</v>
      </c>
      <c r="C27" s="499"/>
      <c r="D27" s="499"/>
      <c r="E27" s="499"/>
      <c r="F27" s="499"/>
      <c r="G27" s="499"/>
      <c r="H27" s="499"/>
      <c r="I27" s="499"/>
      <c r="J27" s="499"/>
    </row>
    <row r="28" spans="2:10" x14ac:dyDescent="0.45">
      <c r="B28" s="9" t="s">
        <v>202</v>
      </c>
      <c r="C28" s="9"/>
      <c r="D28" s="9"/>
      <c r="E28" s="9"/>
      <c r="F28" s="9"/>
    </row>
    <row r="29" spans="2:10" x14ac:dyDescent="0.45">
      <c r="B29" t="s">
        <v>222</v>
      </c>
      <c r="F29" s="82" t="e">
        <f>E3/J7*F25*90%</f>
        <v>#DIV/0!</v>
      </c>
    </row>
    <row r="31" spans="2:10" x14ac:dyDescent="0.45">
      <c r="B31" s="499" t="s">
        <v>223</v>
      </c>
      <c r="C31" s="499"/>
      <c r="D31" s="499"/>
      <c r="E31" s="499"/>
      <c r="F31" s="499"/>
      <c r="G31" s="499"/>
      <c r="H31" s="499"/>
      <c r="I31" s="499"/>
      <c r="J31" s="499"/>
    </row>
    <row r="32" spans="2:10" x14ac:dyDescent="0.45">
      <c r="B32" t="s">
        <v>224</v>
      </c>
      <c r="F32" s="82">
        <f>E18-(E18*6.7%)</f>
        <v>0</v>
      </c>
      <c r="J32" s="82">
        <f>E18-(E18*3.8%)</f>
        <v>0</v>
      </c>
    </row>
    <row r="34" spans="2:14" x14ac:dyDescent="0.45">
      <c r="B34" s="500" t="s">
        <v>225</v>
      </c>
      <c r="C34" s="500"/>
      <c r="D34" s="500"/>
      <c r="E34" s="500"/>
      <c r="F34" s="500"/>
      <c r="G34" s="500"/>
      <c r="H34" s="500"/>
      <c r="I34" s="500"/>
      <c r="J34" s="500"/>
    </row>
    <row r="35" spans="2:14" x14ac:dyDescent="0.45">
      <c r="B35" t="s">
        <v>226</v>
      </c>
      <c r="E35" s="93"/>
      <c r="G35" t="s">
        <v>227</v>
      </c>
      <c r="J35" s="93">
        <v>7</v>
      </c>
    </row>
    <row r="36" spans="2:14" x14ac:dyDescent="0.45">
      <c r="B36" t="s">
        <v>228</v>
      </c>
      <c r="E36" s="102"/>
    </row>
    <row r="38" spans="2:14" x14ac:dyDescent="0.45">
      <c r="B38" s="501" t="s">
        <v>229</v>
      </c>
      <c r="C38" s="501"/>
      <c r="D38" s="501"/>
      <c r="E38" s="501"/>
      <c r="F38" s="501"/>
      <c r="G38" s="501"/>
      <c r="H38" s="501"/>
      <c r="I38" s="501"/>
      <c r="J38" s="501"/>
    </row>
    <row r="40" spans="2:14" x14ac:dyDescent="0.45">
      <c r="B40" s="502" t="s">
        <v>230</v>
      </c>
      <c r="C40" s="502"/>
      <c r="D40" s="502"/>
      <c r="F40" s="502" t="s">
        <v>525</v>
      </c>
      <c r="G40" s="502"/>
      <c r="H40" s="502"/>
      <c r="J40" s="373" t="s">
        <v>524</v>
      </c>
      <c r="K40" s="373"/>
      <c r="M40" s="373" t="s">
        <v>526</v>
      </c>
      <c r="N40" s="373"/>
    </row>
    <row r="41" spans="2:14" x14ac:dyDescent="0.45">
      <c r="B41" t="s">
        <v>231</v>
      </c>
      <c r="D41" s="82">
        <f>E3</f>
        <v>0</v>
      </c>
      <c r="F41" t="s">
        <v>231</v>
      </c>
      <c r="H41" s="82">
        <f>E3</f>
        <v>0</v>
      </c>
      <c r="J41" s="82">
        <f>H41</f>
        <v>0</v>
      </c>
      <c r="M41" s="82">
        <f>J41</f>
        <v>0</v>
      </c>
    </row>
    <row r="42" spans="2:14" x14ac:dyDescent="0.45">
      <c r="B42" t="s">
        <v>232</v>
      </c>
      <c r="D42" s="82" t="e">
        <f>IF(J3="réel",-J9,-F9)</f>
        <v>#DIV/0!</v>
      </c>
      <c r="F42" t="s">
        <v>232</v>
      </c>
      <c r="H42" s="82" t="e">
        <f>D42</f>
        <v>#DIV/0!</v>
      </c>
      <c r="J42" s="82" t="e">
        <f>H42</f>
        <v>#DIV/0!</v>
      </c>
      <c r="M42" s="82" t="e">
        <f>J42</f>
        <v>#DIV/0!</v>
      </c>
    </row>
    <row r="43" spans="2:14" x14ac:dyDescent="0.45">
      <c r="B43" t="s">
        <v>233</v>
      </c>
      <c r="D43" s="82" t="e">
        <f>F29</f>
        <v>#DIV/0!</v>
      </c>
      <c r="F43" t="s">
        <v>233</v>
      </c>
      <c r="H43" s="82" t="e">
        <f>IF(J3="réel",(E3/J7*(J8-(E35*J35)))*E36,F9*E36)</f>
        <v>#DIV/0!</v>
      </c>
      <c r="J43" s="82" t="e">
        <f>J46-(J41-(-J42-J44))</f>
        <v>#DIV/0!</v>
      </c>
      <c r="M43" s="82" t="e">
        <f>M46-(M41-(-M42-M44))</f>
        <v>#DIV/0!</v>
      </c>
    </row>
    <row r="44" spans="2:14" x14ac:dyDescent="0.45">
      <c r="B44" t="s">
        <v>234</v>
      </c>
      <c r="D44" s="82">
        <f>-J25*D18</f>
        <v>0</v>
      </c>
      <c r="F44" t="s">
        <v>234</v>
      </c>
      <c r="H44" s="82">
        <f>-F21*D18</f>
        <v>0</v>
      </c>
      <c r="J44" s="82">
        <f>H44</f>
        <v>0</v>
      </c>
      <c r="M44" s="82">
        <f>J44</f>
        <v>0</v>
      </c>
    </row>
    <row r="45" spans="2:14" x14ac:dyDescent="0.45">
      <c r="D45" s="82"/>
      <c r="H45" s="82"/>
      <c r="J45" s="60"/>
      <c r="M45" s="60"/>
    </row>
    <row r="46" spans="2:14" x14ac:dyDescent="0.45">
      <c r="B46" s="103" t="s">
        <v>235</v>
      </c>
      <c r="C46" s="103"/>
      <c r="D46" s="104" t="e">
        <f>D41+SUM(D42:D44)</f>
        <v>#DIV/0!</v>
      </c>
      <c r="F46" s="103" t="s">
        <v>235</v>
      </c>
      <c r="H46" s="104" t="e">
        <f>H41+SUM(H42:H44)</f>
        <v>#DIV/0!</v>
      </c>
      <c r="J46" s="104">
        <f>(J51-J48)/(1-BULLETIN!F93)</f>
        <v>0</v>
      </c>
      <c r="M46" s="104">
        <f>(M51+M44)/(1-BULLETIN!F93)</f>
        <v>0</v>
      </c>
    </row>
    <row r="47" spans="2:14" x14ac:dyDescent="0.45">
      <c r="B47" t="s">
        <v>236</v>
      </c>
      <c r="F47" t="s">
        <v>236</v>
      </c>
    </row>
    <row r="48" spans="2:14" x14ac:dyDescent="0.45">
      <c r="B48" t="s">
        <v>237</v>
      </c>
      <c r="D48" s="82">
        <f>F32</f>
        <v>0</v>
      </c>
      <c r="F48" t="s">
        <v>237</v>
      </c>
      <c r="H48" s="82">
        <f>F32</f>
        <v>0</v>
      </c>
      <c r="J48" s="82">
        <f>H48</f>
        <v>0</v>
      </c>
      <c r="M48" s="82">
        <f>J48</f>
        <v>0</v>
      </c>
    </row>
    <row r="50" spans="8:13" x14ac:dyDescent="0.45">
      <c r="H50" s="374" t="s">
        <v>527</v>
      </c>
      <c r="I50" s="374"/>
      <c r="J50" s="374"/>
      <c r="K50" s="374"/>
      <c r="L50" s="374"/>
      <c r="M50" s="374"/>
    </row>
    <row r="51" spans="8:13" x14ac:dyDescent="0.45">
      <c r="H51" s="374" t="s">
        <v>528</v>
      </c>
      <c r="I51" s="374"/>
      <c r="J51" s="93"/>
      <c r="K51" s="374"/>
      <c r="L51" s="374"/>
      <c r="M51" s="93"/>
    </row>
  </sheetData>
  <mergeCells count="11">
    <mergeCell ref="B31:J31"/>
    <mergeCell ref="B34:J34"/>
    <mergeCell ref="B38:J38"/>
    <mergeCell ref="B40:D40"/>
    <mergeCell ref="F40:H40"/>
    <mergeCell ref="B27:J27"/>
    <mergeCell ref="B2:J2"/>
    <mergeCell ref="B5:J5"/>
    <mergeCell ref="B11:J11"/>
    <mergeCell ref="B20:J20"/>
    <mergeCell ref="B23:J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26DE-FC06-4C8D-80DD-0A2B997B32F1}">
  <dimension ref="B2:Q52"/>
  <sheetViews>
    <sheetView zoomScale="90" zoomScaleNormal="90" workbookViewId="0">
      <selection activeCell="C2" sqref="C2"/>
    </sheetView>
  </sheetViews>
  <sheetFormatPr baseColWidth="10" defaultRowHeight="14.25" x14ac:dyDescent="0.45"/>
  <cols>
    <col min="2" max="2" width="11.6640625" customWidth="1"/>
    <col min="7" max="7" width="13.19921875" customWidth="1"/>
    <col min="8" max="8" width="13.9296875" customWidth="1"/>
  </cols>
  <sheetData>
    <row r="2" spans="2:17" x14ac:dyDescent="0.45">
      <c r="B2" t="s">
        <v>238</v>
      </c>
      <c r="C2" s="106">
        <v>36526</v>
      </c>
      <c r="E2" t="s">
        <v>239</v>
      </c>
      <c r="F2" s="60">
        <f>DATEDIF(C2,C3,"y")</f>
        <v>14</v>
      </c>
      <c r="H2" t="s">
        <v>240</v>
      </c>
      <c r="I2" s="60">
        <f>F2-I3</f>
        <v>10</v>
      </c>
    </row>
    <row r="3" spans="2:17" x14ac:dyDescent="0.45">
      <c r="B3" t="s">
        <v>241</v>
      </c>
      <c r="C3" s="106">
        <v>41791</v>
      </c>
      <c r="E3" t="s">
        <v>15</v>
      </c>
      <c r="F3" s="60">
        <f>DATEDIF(C2,C3,"ym")</f>
        <v>5</v>
      </c>
      <c r="H3" t="s">
        <v>242</v>
      </c>
      <c r="I3" s="60">
        <f>F2-10</f>
        <v>4</v>
      </c>
    </row>
    <row r="4" spans="2:17" x14ac:dyDescent="0.45">
      <c r="E4" t="s">
        <v>243</v>
      </c>
      <c r="F4" s="60">
        <f>DATEDIF(C2,C3,"md")</f>
        <v>0</v>
      </c>
    </row>
    <row r="8" spans="2:17" x14ac:dyDescent="0.45">
      <c r="B8" s="498" t="s">
        <v>244</v>
      </c>
      <c r="C8" s="498"/>
      <c r="D8" s="498"/>
      <c r="E8" s="498"/>
      <c r="F8" s="498"/>
      <c r="G8" s="498"/>
      <c r="H8" s="498"/>
      <c r="I8" s="498"/>
      <c r="K8" s="518" t="s">
        <v>286</v>
      </c>
      <c r="L8" s="518"/>
      <c r="M8" s="518"/>
      <c r="N8" s="518"/>
      <c r="O8" s="518"/>
      <c r="P8" s="518"/>
      <c r="Q8" s="518"/>
    </row>
    <row r="10" spans="2:17" x14ac:dyDescent="0.45">
      <c r="B10" s="60" t="s">
        <v>245</v>
      </c>
      <c r="C10" s="83">
        <v>4252</v>
      </c>
      <c r="K10" t="s">
        <v>287</v>
      </c>
      <c r="O10" s="93">
        <v>200000</v>
      </c>
    </row>
    <row r="11" spans="2:17" x14ac:dyDescent="0.45">
      <c r="B11" s="60" t="s">
        <v>246</v>
      </c>
      <c r="C11" s="83">
        <v>4252</v>
      </c>
    </row>
    <row r="12" spans="2:17" x14ac:dyDescent="0.45">
      <c r="B12" s="60" t="s">
        <v>247</v>
      </c>
      <c r="C12" s="83">
        <v>4252</v>
      </c>
      <c r="K12" s="507" t="s">
        <v>288</v>
      </c>
      <c r="L12" s="507"/>
      <c r="M12" s="507"/>
      <c r="N12" s="507"/>
      <c r="O12" s="507"/>
      <c r="P12" s="507"/>
      <c r="Q12" s="507"/>
    </row>
    <row r="13" spans="2:17" x14ac:dyDescent="0.45">
      <c r="B13" s="60" t="s">
        <v>248</v>
      </c>
      <c r="C13" s="83">
        <v>4252</v>
      </c>
      <c r="K13" s="60"/>
      <c r="L13" s="508" t="s">
        <v>267</v>
      </c>
      <c r="M13" s="508"/>
      <c r="N13" s="508"/>
      <c r="O13" s="508" t="s">
        <v>268</v>
      </c>
      <c r="P13" s="508"/>
      <c r="Q13" s="508"/>
    </row>
    <row r="14" spans="2:17" x14ac:dyDescent="0.45">
      <c r="B14" s="60" t="s">
        <v>249</v>
      </c>
      <c r="C14" s="83">
        <v>4252</v>
      </c>
      <c r="K14" s="493" t="s">
        <v>289</v>
      </c>
      <c r="L14" s="508" t="s">
        <v>513</v>
      </c>
      <c r="M14" s="508"/>
      <c r="N14" s="508"/>
      <c r="O14" s="508" t="s">
        <v>514</v>
      </c>
      <c r="P14" s="508"/>
      <c r="Q14" s="508"/>
    </row>
    <row r="15" spans="2:17" x14ac:dyDescent="0.45">
      <c r="B15" s="60" t="s">
        <v>250</v>
      </c>
      <c r="C15" s="83">
        <v>4252</v>
      </c>
      <c r="K15" s="493"/>
      <c r="L15" s="519">
        <f>G42</f>
        <v>160000</v>
      </c>
      <c r="M15" s="519"/>
      <c r="N15" s="519"/>
      <c r="O15" s="519">
        <f>H42</f>
        <v>40000</v>
      </c>
      <c r="P15" s="519"/>
      <c r="Q15" s="519"/>
    </row>
    <row r="16" spans="2:17" x14ac:dyDescent="0.45">
      <c r="B16" s="60" t="s">
        <v>251</v>
      </c>
      <c r="C16" s="83">
        <v>4252</v>
      </c>
      <c r="K16" s="493" t="s">
        <v>290</v>
      </c>
      <c r="L16" s="493" t="s">
        <v>291</v>
      </c>
      <c r="M16" s="493"/>
      <c r="N16" s="493"/>
      <c r="O16" s="493" t="s">
        <v>292</v>
      </c>
      <c r="P16" s="493"/>
      <c r="Q16" s="493"/>
    </row>
    <row r="17" spans="2:17" x14ac:dyDescent="0.45">
      <c r="B17" s="60" t="s">
        <v>252</v>
      </c>
      <c r="C17" s="83">
        <v>4252</v>
      </c>
      <c r="K17" s="493"/>
      <c r="L17" s="493"/>
      <c r="M17" s="493"/>
      <c r="N17" s="493"/>
      <c r="O17" s="493"/>
      <c r="P17" s="493"/>
      <c r="Q17" s="493"/>
    </row>
    <row r="18" spans="2:17" ht="14.65" thickBot="1" x14ac:dyDescent="0.5">
      <c r="B18" s="107" t="s">
        <v>253</v>
      </c>
      <c r="C18" s="83">
        <v>4252</v>
      </c>
      <c r="K18" s="493"/>
      <c r="L18" s="493"/>
      <c r="M18" s="493"/>
      <c r="N18" s="493"/>
      <c r="O18" s="493"/>
      <c r="P18" s="493"/>
      <c r="Q18" s="493"/>
    </row>
    <row r="19" spans="2:17" x14ac:dyDescent="0.45">
      <c r="B19" s="108" t="s">
        <v>254</v>
      </c>
      <c r="C19" s="83">
        <v>4252</v>
      </c>
      <c r="D19" s="503" t="s">
        <v>255</v>
      </c>
      <c r="K19" s="493"/>
      <c r="L19" s="519">
        <f>2*COTISATIONS!F59</f>
        <v>96120</v>
      </c>
      <c r="M19" s="519"/>
      <c r="N19" s="519"/>
      <c r="O19" s="519">
        <f>H46</f>
        <v>103880</v>
      </c>
      <c r="P19" s="519"/>
      <c r="Q19" s="519"/>
    </row>
    <row r="20" spans="2:17" x14ac:dyDescent="0.45">
      <c r="B20" s="109" t="s">
        <v>256</v>
      </c>
      <c r="C20" s="83">
        <v>4252</v>
      </c>
      <c r="D20" s="504"/>
      <c r="K20" s="493" t="s">
        <v>281</v>
      </c>
      <c r="L20" s="493" t="s">
        <v>293</v>
      </c>
      <c r="M20" s="493"/>
      <c r="N20" s="493"/>
      <c r="O20" s="493" t="s">
        <v>294</v>
      </c>
      <c r="P20" s="493"/>
      <c r="Q20" s="493"/>
    </row>
    <row r="21" spans="2:17" ht="14.65" thickBot="1" x14ac:dyDescent="0.5">
      <c r="B21" s="110" t="s">
        <v>257</v>
      </c>
      <c r="C21" s="83">
        <v>4252</v>
      </c>
      <c r="D21" s="505"/>
      <c r="E21" t="s">
        <v>258</v>
      </c>
      <c r="K21" s="493"/>
      <c r="L21" s="493"/>
      <c r="M21" s="493"/>
      <c r="N21" s="493"/>
      <c r="O21" s="493"/>
      <c r="P21" s="493"/>
      <c r="Q21" s="493"/>
    </row>
    <row r="22" spans="2:17" ht="14.65" thickBot="1" x14ac:dyDescent="0.5">
      <c r="C22" s="111">
        <f>AVERAGE(C10:C21)</f>
        <v>4252</v>
      </c>
      <c r="D22" s="112">
        <f>AVERAGE(C19:C21)</f>
        <v>4252</v>
      </c>
      <c r="E22" s="113">
        <f>IF(C22&gt;D22,C22,D22)</f>
        <v>4252</v>
      </c>
      <c r="K22" s="493"/>
      <c r="L22" s="493"/>
      <c r="M22" s="493"/>
      <c r="N22" s="493"/>
      <c r="O22" s="493"/>
      <c r="P22" s="493"/>
      <c r="Q22" s="493"/>
    </row>
    <row r="23" spans="2:17" x14ac:dyDescent="0.45">
      <c r="K23" s="493"/>
      <c r="L23" s="519">
        <f>L19</f>
        <v>96120</v>
      </c>
      <c r="M23" s="520"/>
      <c r="N23" s="520"/>
      <c r="O23" s="519">
        <f>O19</f>
        <v>103880</v>
      </c>
      <c r="P23" s="520"/>
      <c r="Q23" s="520"/>
    </row>
    <row r="24" spans="2:17" ht="14.65" thickBot="1" x14ac:dyDescent="0.5">
      <c r="B24" s="506" t="s">
        <v>259</v>
      </c>
      <c r="C24" s="506"/>
      <c r="D24" s="506"/>
      <c r="E24" s="506"/>
      <c r="F24" s="506"/>
      <c r="G24" s="506"/>
      <c r="H24" s="498"/>
      <c r="I24" s="498"/>
      <c r="K24" s="521" t="s">
        <v>569</v>
      </c>
      <c r="L24" s="493" t="s">
        <v>295</v>
      </c>
      <c r="M24" s="493"/>
      <c r="N24" s="493"/>
      <c r="O24" s="493" t="s">
        <v>296</v>
      </c>
      <c r="P24" s="493"/>
      <c r="Q24" s="493"/>
    </row>
    <row r="25" spans="2:17" x14ac:dyDescent="0.45">
      <c r="B25" s="114" t="s">
        <v>260</v>
      </c>
      <c r="C25" s="115"/>
      <c r="D25" s="116"/>
      <c r="E25" s="114" t="s">
        <v>261</v>
      </c>
      <c r="F25" s="117"/>
      <c r="G25" s="116"/>
      <c r="K25" s="521"/>
      <c r="L25" s="493"/>
      <c r="M25" s="493"/>
      <c r="N25" s="493"/>
      <c r="O25" s="493"/>
      <c r="P25" s="493"/>
      <c r="Q25" s="493"/>
    </row>
    <row r="26" spans="2:17" x14ac:dyDescent="0.45">
      <c r="B26" s="118" t="s">
        <v>262</v>
      </c>
      <c r="C26" s="82">
        <f>((E22*1/4)*I2)</f>
        <v>10630</v>
      </c>
      <c r="D26" s="119"/>
      <c r="E26" s="118"/>
      <c r="F26" s="23"/>
      <c r="G26" s="119"/>
      <c r="K26" s="521"/>
      <c r="L26" s="493"/>
      <c r="M26" s="493"/>
      <c r="N26" s="493"/>
      <c r="O26" s="493"/>
      <c r="P26" s="493"/>
      <c r="Q26" s="493"/>
    </row>
    <row r="27" spans="2:17" x14ac:dyDescent="0.45">
      <c r="B27" s="118" t="s">
        <v>263</v>
      </c>
      <c r="C27" s="82">
        <f>((E22*1/3)*I3)+((E22*1/3)*(F3/12))</f>
        <v>6259.8888888888887</v>
      </c>
      <c r="D27" s="119"/>
      <c r="E27" s="118" t="s">
        <v>263</v>
      </c>
      <c r="F27" s="82">
        <f>((E22*1/4)*F2)+((E22*1/4)*(F3/12))</f>
        <v>15324.916666666666</v>
      </c>
      <c r="G27" s="119"/>
      <c r="K27" s="521"/>
      <c r="L27" s="519">
        <f>O19</f>
        <v>103880</v>
      </c>
      <c r="M27" s="519"/>
      <c r="N27" s="519"/>
      <c r="O27" s="519">
        <f>IF(O10&lt;L19,O10,L19)</f>
        <v>96120</v>
      </c>
      <c r="P27" s="519"/>
      <c r="Q27" s="519"/>
    </row>
    <row r="28" spans="2:17" ht="14.65" thickBot="1" x14ac:dyDescent="0.5">
      <c r="B28" s="120" t="s">
        <v>264</v>
      </c>
      <c r="C28" s="121">
        <f>C26+C27</f>
        <v>16889.888888888891</v>
      </c>
      <c r="D28" s="122"/>
      <c r="E28" s="120" t="s">
        <v>265</v>
      </c>
      <c r="F28" s="121">
        <f>F27</f>
        <v>15324.916666666666</v>
      </c>
      <c r="G28" s="122"/>
    </row>
    <row r="29" spans="2:17" ht="14.65" thickBot="1" x14ac:dyDescent="0.5"/>
    <row r="30" spans="2:17" ht="14.65" thickBot="1" x14ac:dyDescent="0.5">
      <c r="B30" s="23" t="s">
        <v>114</v>
      </c>
      <c r="D30" s="123">
        <f>IF(I3&lt;0,F28,C28)</f>
        <v>16889.888888888891</v>
      </c>
    </row>
    <row r="32" spans="2:17" x14ac:dyDescent="0.45">
      <c r="B32" s="507" t="s">
        <v>266</v>
      </c>
      <c r="C32" s="507"/>
      <c r="D32" s="507"/>
      <c r="E32" s="507"/>
      <c r="F32" s="507"/>
      <c r="G32" s="507"/>
      <c r="H32" s="507"/>
      <c r="I32" s="507"/>
    </row>
    <row r="34" spans="2:11" x14ac:dyDescent="0.45">
      <c r="B34" s="508" t="s">
        <v>267</v>
      </c>
      <c r="C34" s="508"/>
      <c r="D34" s="508"/>
      <c r="E34" s="508"/>
      <c r="F34" s="508"/>
      <c r="G34" s="508"/>
      <c r="H34" s="508" t="s">
        <v>268</v>
      </c>
      <c r="I34" s="508"/>
    </row>
    <row r="35" spans="2:11" x14ac:dyDescent="0.45">
      <c r="B35" s="509" t="s">
        <v>269</v>
      </c>
      <c r="C35" t="s">
        <v>270</v>
      </c>
      <c r="G35" s="60"/>
      <c r="H35" s="508"/>
      <c r="I35" s="508"/>
    </row>
    <row r="36" spans="2:11" x14ac:dyDescent="0.45">
      <c r="B36" s="509"/>
      <c r="C36" t="s">
        <v>271</v>
      </c>
      <c r="G36" s="83">
        <v>200000</v>
      </c>
      <c r="H36" s="508"/>
      <c r="I36" s="508"/>
    </row>
    <row r="37" spans="2:11" x14ac:dyDescent="0.45">
      <c r="B37" s="509"/>
      <c r="C37" t="s">
        <v>272</v>
      </c>
      <c r="G37" s="83">
        <v>50000</v>
      </c>
      <c r="H37" s="508"/>
      <c r="I37" s="508"/>
    </row>
    <row r="38" spans="2:11" x14ac:dyDescent="0.45">
      <c r="B38" s="509"/>
      <c r="C38" t="s">
        <v>273</v>
      </c>
      <c r="G38" s="82">
        <f>G36*50%</f>
        <v>100000</v>
      </c>
      <c r="H38" s="508"/>
      <c r="I38" s="508"/>
    </row>
    <row r="39" spans="2:11" x14ac:dyDescent="0.45">
      <c r="B39" s="509"/>
      <c r="C39" t="s">
        <v>274</v>
      </c>
      <c r="G39" s="83">
        <v>160000</v>
      </c>
      <c r="H39" s="508"/>
      <c r="I39" s="508"/>
    </row>
    <row r="40" spans="2:11" x14ac:dyDescent="0.45">
      <c r="B40" s="509"/>
      <c r="C40" t="s">
        <v>275</v>
      </c>
      <c r="G40" s="82">
        <f>MAX(G37:G39)</f>
        <v>160000</v>
      </c>
      <c r="H40" s="508"/>
      <c r="I40" s="508"/>
    </row>
    <row r="41" spans="2:11" x14ac:dyDescent="0.45">
      <c r="B41" s="509"/>
      <c r="C41" t="s">
        <v>276</v>
      </c>
      <c r="G41" s="124">
        <f>6*COTISATIONS!F59</f>
        <v>288360</v>
      </c>
      <c r="H41" s="508"/>
      <c r="I41" s="508"/>
    </row>
    <row r="42" spans="2:11" x14ac:dyDescent="0.45">
      <c r="B42" s="509"/>
      <c r="C42" s="125" t="s">
        <v>277</v>
      </c>
      <c r="D42" s="126"/>
      <c r="E42" s="126"/>
      <c r="F42" s="127"/>
      <c r="G42" s="128">
        <f>IF(G41&lt;G40,G41,G40)</f>
        <v>160000</v>
      </c>
      <c r="H42" s="510">
        <f>IF(G36&gt;G42,G36-G42,0)</f>
        <v>40000</v>
      </c>
      <c r="I42" s="510"/>
    </row>
    <row r="43" spans="2:11" x14ac:dyDescent="0.45">
      <c r="B43" s="511" t="s">
        <v>278</v>
      </c>
      <c r="C43" s="514" t="s">
        <v>279</v>
      </c>
      <c r="D43" s="514"/>
      <c r="E43" s="514"/>
      <c r="F43" s="514"/>
      <c r="G43" s="514"/>
      <c r="H43" s="508"/>
      <c r="I43" s="508"/>
      <c r="K43" s="92" t="s">
        <v>604</v>
      </c>
    </row>
    <row r="44" spans="2:11" x14ac:dyDescent="0.45">
      <c r="B44" s="512"/>
      <c r="C44" s="514"/>
      <c r="D44" s="514"/>
      <c r="E44" s="514"/>
      <c r="F44" s="514"/>
      <c r="G44" s="514"/>
      <c r="H44" s="508"/>
      <c r="I44" s="508"/>
      <c r="K44" s="92" t="s">
        <v>605</v>
      </c>
    </row>
    <row r="45" spans="2:11" x14ac:dyDescent="0.45">
      <c r="B45" s="512"/>
      <c r="C45" s="514"/>
      <c r="D45" s="514"/>
      <c r="E45" s="514"/>
      <c r="F45" s="514"/>
      <c r="G45" s="514"/>
      <c r="H45" s="508"/>
      <c r="I45" s="508"/>
      <c r="K45" s="92" t="s">
        <v>606</v>
      </c>
    </row>
    <row r="46" spans="2:11" ht="43.9" x14ac:dyDescent="1.05">
      <c r="B46" s="513"/>
      <c r="C46" s="515" t="s">
        <v>280</v>
      </c>
      <c r="D46" s="515"/>
      <c r="E46" s="515"/>
      <c r="F46" s="515"/>
      <c r="G46" s="128">
        <f>2*COTISATIONS!F59</f>
        <v>96120</v>
      </c>
      <c r="H46" s="510">
        <f>IF(G36&gt;G46,G36-G46,0)</f>
        <v>103880</v>
      </c>
      <c r="I46" s="510"/>
      <c r="J46" s="417" t="s">
        <v>601</v>
      </c>
      <c r="K46" s="419" t="s">
        <v>602</v>
      </c>
    </row>
    <row r="47" spans="2:11" ht="14.25" customHeight="1" x14ac:dyDescent="0.45">
      <c r="B47" s="514" t="s">
        <v>281</v>
      </c>
      <c r="C47" s="516" t="s">
        <v>282</v>
      </c>
      <c r="D47" s="516"/>
      <c r="E47" s="516"/>
      <c r="F47" s="516"/>
      <c r="G47" s="516"/>
      <c r="H47" s="508"/>
      <c r="I47" s="508"/>
    </row>
    <row r="48" spans="2:11" x14ac:dyDescent="0.45">
      <c r="B48" s="514"/>
      <c r="C48" s="516"/>
      <c r="D48" s="516"/>
      <c r="E48" s="516"/>
      <c r="F48" s="516"/>
      <c r="G48" s="516"/>
      <c r="H48" s="508"/>
      <c r="I48" s="508"/>
    </row>
    <row r="49" spans="2:9" x14ac:dyDescent="0.45">
      <c r="B49" s="514"/>
      <c r="C49" s="516"/>
      <c r="D49" s="516"/>
      <c r="E49" s="516"/>
      <c r="F49" s="516"/>
      <c r="G49" s="516"/>
      <c r="H49" s="508"/>
      <c r="I49" s="508"/>
    </row>
    <row r="50" spans="2:9" x14ac:dyDescent="0.45">
      <c r="B50" s="514"/>
      <c r="C50" s="515" t="s">
        <v>277</v>
      </c>
      <c r="D50" s="515"/>
      <c r="E50" s="515"/>
      <c r="F50" s="515"/>
      <c r="G50" s="128">
        <f>G37</f>
        <v>50000</v>
      </c>
      <c r="H50" s="510">
        <f>G36-G50</f>
        <v>150000</v>
      </c>
      <c r="I50" s="510"/>
    </row>
    <row r="51" spans="2:9" x14ac:dyDescent="0.45">
      <c r="H51" s="517">
        <f>H50-H46-H42</f>
        <v>6120</v>
      </c>
      <c r="I51" s="517"/>
    </row>
    <row r="52" spans="2:9" x14ac:dyDescent="0.45">
      <c r="H52" t="s">
        <v>283</v>
      </c>
    </row>
  </sheetData>
  <mergeCells count="44">
    <mergeCell ref="L20:N22"/>
    <mergeCell ref="O20:Q22"/>
    <mergeCell ref="L23:N23"/>
    <mergeCell ref="O23:Q23"/>
    <mergeCell ref="K24:K27"/>
    <mergeCell ref="L24:N26"/>
    <mergeCell ref="O24:Q26"/>
    <mergeCell ref="L27:N27"/>
    <mergeCell ref="O27:Q27"/>
    <mergeCell ref="H51:I51"/>
    <mergeCell ref="K8:Q8"/>
    <mergeCell ref="K12:Q12"/>
    <mergeCell ref="L13:N13"/>
    <mergeCell ref="O13:Q13"/>
    <mergeCell ref="K14:K15"/>
    <mergeCell ref="L14:N14"/>
    <mergeCell ref="O14:Q14"/>
    <mergeCell ref="L15:N15"/>
    <mergeCell ref="O15:Q15"/>
    <mergeCell ref="K16:K19"/>
    <mergeCell ref="L16:N18"/>
    <mergeCell ref="O16:Q18"/>
    <mergeCell ref="L19:N19"/>
    <mergeCell ref="O19:Q19"/>
    <mergeCell ref="K20:K23"/>
    <mergeCell ref="B47:B50"/>
    <mergeCell ref="C47:G49"/>
    <mergeCell ref="H47:I49"/>
    <mergeCell ref="C50:F50"/>
    <mergeCell ref="H50:I50"/>
    <mergeCell ref="B35:B42"/>
    <mergeCell ref="H35:I41"/>
    <mergeCell ref="H42:I42"/>
    <mergeCell ref="B43:B46"/>
    <mergeCell ref="C43:G45"/>
    <mergeCell ref="H43:I45"/>
    <mergeCell ref="C46:F46"/>
    <mergeCell ref="H46:I46"/>
    <mergeCell ref="B8:I8"/>
    <mergeCell ref="D19:D21"/>
    <mergeCell ref="B24:I24"/>
    <mergeCell ref="B32:I32"/>
    <mergeCell ref="B34:G34"/>
    <mergeCell ref="H34:I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B2F6-4706-438A-8E3C-4456D16B57B6}">
  <dimension ref="B1:M37"/>
  <sheetViews>
    <sheetView workbookViewId="0">
      <selection activeCell="K12" sqref="K12"/>
    </sheetView>
  </sheetViews>
  <sheetFormatPr baseColWidth="10" defaultRowHeight="14.25" x14ac:dyDescent="0.45"/>
  <cols>
    <col min="1" max="1" width="4.53125" customWidth="1"/>
  </cols>
  <sheetData>
    <row r="1" spans="2:13" ht="14.65" thickBot="1" x14ac:dyDescent="0.5"/>
    <row r="2" spans="2:13" x14ac:dyDescent="0.45">
      <c r="B2" s="522" t="s">
        <v>297</v>
      </c>
      <c r="C2" s="523"/>
      <c r="D2" s="523"/>
      <c r="E2" s="523"/>
      <c r="F2" s="523"/>
      <c r="G2" s="524"/>
      <c r="I2" t="s">
        <v>298</v>
      </c>
      <c r="K2" s="130"/>
      <c r="M2" s="131" t="s">
        <v>299</v>
      </c>
    </row>
    <row r="3" spans="2:13" x14ac:dyDescent="0.45">
      <c r="B3" s="525" t="s">
        <v>300</v>
      </c>
      <c r="C3" s="526"/>
      <c r="D3" s="526" t="s">
        <v>301</v>
      </c>
      <c r="E3" s="526"/>
      <c r="F3" s="526" t="s">
        <v>302</v>
      </c>
      <c r="G3" s="527"/>
      <c r="I3" t="s">
        <v>303</v>
      </c>
      <c r="K3" s="130" t="s">
        <v>117</v>
      </c>
    </row>
    <row r="4" spans="2:13" x14ac:dyDescent="0.45">
      <c r="B4" s="525" t="s">
        <v>304</v>
      </c>
      <c r="C4" s="526"/>
      <c r="D4" s="528">
        <v>25</v>
      </c>
      <c r="E4" s="528"/>
      <c r="F4" s="528">
        <v>14.56</v>
      </c>
      <c r="G4" s="529"/>
      <c r="K4" s="132"/>
    </row>
    <row r="5" spans="2:13" x14ac:dyDescent="0.45">
      <c r="B5" s="525" t="s">
        <v>305</v>
      </c>
      <c r="C5" s="526"/>
      <c r="D5" s="528">
        <v>11</v>
      </c>
      <c r="E5" s="528"/>
      <c r="F5" s="528"/>
      <c r="G5" s="529"/>
      <c r="I5" t="s">
        <v>306</v>
      </c>
      <c r="K5" s="130"/>
    </row>
    <row r="6" spans="2:13" x14ac:dyDescent="0.45">
      <c r="B6" s="525" t="s">
        <v>307</v>
      </c>
      <c r="C6" s="526"/>
      <c r="D6" s="530">
        <f>D4-D5</f>
        <v>14</v>
      </c>
      <c r="E6" s="530"/>
      <c r="F6" s="530">
        <f>F4-F5</f>
        <v>14.56</v>
      </c>
      <c r="G6" s="530"/>
      <c r="I6" t="s">
        <v>308</v>
      </c>
      <c r="K6" s="130"/>
      <c r="M6" s="131" t="s">
        <v>299</v>
      </c>
    </row>
    <row r="7" spans="2:13" x14ac:dyDescent="0.45">
      <c r="B7" s="531" t="s">
        <v>244</v>
      </c>
      <c r="C7" s="532"/>
      <c r="D7" s="532"/>
      <c r="E7" s="532"/>
      <c r="F7" s="532"/>
      <c r="G7" s="533"/>
      <c r="I7" t="s">
        <v>309</v>
      </c>
      <c r="K7" s="130" t="s">
        <v>117</v>
      </c>
    </row>
    <row r="8" spans="2:13" x14ac:dyDescent="0.45">
      <c r="B8" s="525" t="s">
        <v>310</v>
      </c>
      <c r="C8" s="526"/>
      <c r="D8" s="528">
        <v>14796.6</v>
      </c>
      <c r="E8" s="528"/>
      <c r="F8" s="528">
        <v>8631.35</v>
      </c>
      <c r="G8" s="529"/>
    </row>
    <row r="9" spans="2:13" ht="14.65" thickBot="1" x14ac:dyDescent="0.5">
      <c r="B9" s="534" t="s">
        <v>271</v>
      </c>
      <c r="C9" s="535"/>
      <c r="D9" s="536">
        <f>(D8/D4*D5)*10%</f>
        <v>651.05040000000008</v>
      </c>
      <c r="E9" s="536"/>
      <c r="F9" s="536">
        <f>(F8/F4*F5)*10%</f>
        <v>0</v>
      </c>
      <c r="G9" s="536"/>
      <c r="I9" t="s">
        <v>80</v>
      </c>
      <c r="K9" s="83">
        <v>1233.05</v>
      </c>
    </row>
    <row r="11" spans="2:13" x14ac:dyDescent="0.45">
      <c r="B11" t="s">
        <v>311</v>
      </c>
      <c r="D11" s="519">
        <f>IF(K2="x",-K9/26*K13,-K9/21.67*K13)</f>
        <v>-398.30872173511762</v>
      </c>
      <c r="E11" s="519"/>
      <c r="F11" s="519">
        <f>IF(K2="x",-K9/26*K14,-K9/21.67*K14)</f>
        <v>0</v>
      </c>
      <c r="G11" s="519"/>
      <c r="I11" t="s">
        <v>312</v>
      </c>
      <c r="K11" s="83">
        <v>7</v>
      </c>
    </row>
    <row r="12" spans="2:13" x14ac:dyDescent="0.45">
      <c r="B12" t="s">
        <v>313</v>
      </c>
      <c r="D12" s="530">
        <f>IF(K2="x",(K9/26)*K13,(K9/21.67)*K13)</f>
        <v>398.30872173511762</v>
      </c>
      <c r="E12" s="530"/>
      <c r="F12" s="530">
        <f>IF(AND(K14&gt;0,K2="x"),(K9/26)*K14,IF(AND(K14&gt;0,K3="x"),(K9/21.67)*K14,0))</f>
        <v>0</v>
      </c>
      <c r="G12" s="530"/>
    </row>
    <row r="13" spans="2:13" x14ac:dyDescent="0.45">
      <c r="B13" t="s">
        <v>314</v>
      </c>
      <c r="D13" s="530">
        <f>(D8/D4*K13)*10%</f>
        <v>414.30480000000011</v>
      </c>
      <c r="E13" s="530"/>
      <c r="F13" s="530">
        <f>IF(K14&gt;0,(F8/F4*K14)*10%,0)</f>
        <v>0</v>
      </c>
      <c r="G13" s="530"/>
      <c r="I13" t="s">
        <v>315</v>
      </c>
      <c r="K13" s="82">
        <f>IF(K11&gt;D6,D6,K11)</f>
        <v>7</v>
      </c>
    </row>
    <row r="14" spans="2:13" x14ac:dyDescent="0.45">
      <c r="B14" t="s">
        <v>316</v>
      </c>
      <c r="D14" s="530">
        <f>IF(D12&gt;D13,D12,D13)</f>
        <v>414.30480000000011</v>
      </c>
      <c r="E14" s="530"/>
      <c r="F14" s="530">
        <f>IF(F13&gt;F12,F13,F12)</f>
        <v>0</v>
      </c>
      <c r="G14" s="530"/>
      <c r="I14" t="s">
        <v>317</v>
      </c>
      <c r="K14" s="82">
        <f>IF(K11&gt;D6,K11-D6,0)</f>
        <v>0</v>
      </c>
    </row>
    <row r="15" spans="2:13" x14ac:dyDescent="0.45">
      <c r="B15" t="s">
        <v>318</v>
      </c>
      <c r="D15" s="519">
        <f>IF(K5="x",D12,IF(K6="x",D13,D14))</f>
        <v>414.30480000000011</v>
      </c>
      <c r="E15" s="519"/>
      <c r="F15" s="519">
        <f>IF(K5="x",F12,IF(K6="x",F13,F14))</f>
        <v>0</v>
      </c>
      <c r="G15" s="519"/>
    </row>
    <row r="18" spans="2:7" x14ac:dyDescent="0.45">
      <c r="B18" s="537" t="s">
        <v>284</v>
      </c>
      <c r="C18" s="537"/>
      <c r="D18" s="537"/>
      <c r="E18" s="537"/>
      <c r="F18" s="537"/>
      <c r="G18" s="537"/>
    </row>
    <row r="19" spans="2:7" x14ac:dyDescent="0.45">
      <c r="B19" s="61"/>
      <c r="C19" s="23"/>
      <c r="D19" s="23"/>
      <c r="E19" s="23"/>
      <c r="F19" s="23"/>
      <c r="G19" s="25"/>
    </row>
    <row r="20" spans="2:7" x14ac:dyDescent="0.45">
      <c r="B20" s="61" t="s">
        <v>80</v>
      </c>
      <c r="C20" s="23"/>
      <c r="D20" s="58"/>
      <c r="E20" s="23"/>
      <c r="F20" s="65">
        <f>K9</f>
        <v>1233.05</v>
      </c>
      <c r="G20" s="25"/>
    </row>
    <row r="21" spans="2:7" x14ac:dyDescent="0.45">
      <c r="B21" s="61" t="s">
        <v>319</v>
      </c>
      <c r="C21" s="23"/>
      <c r="D21" s="133">
        <f>K13</f>
        <v>7</v>
      </c>
      <c r="E21" s="133">
        <f>F21/D21</f>
        <v>-56.901245962159656</v>
      </c>
      <c r="F21" s="65">
        <f>D11</f>
        <v>-398.30872173511762</v>
      </c>
      <c r="G21" s="25"/>
    </row>
    <row r="22" spans="2:7" x14ac:dyDescent="0.45">
      <c r="B22" s="61" t="s">
        <v>320</v>
      </c>
      <c r="C22" s="23"/>
      <c r="D22" s="133">
        <f>K13</f>
        <v>7</v>
      </c>
      <c r="E22" s="133">
        <f>F22/D22</f>
        <v>59.186400000000013</v>
      </c>
      <c r="F22" s="65">
        <f>D15</f>
        <v>414.30480000000011</v>
      </c>
      <c r="G22" s="25"/>
    </row>
    <row r="23" spans="2:7" x14ac:dyDescent="0.45">
      <c r="B23" s="61" t="str">
        <f>IF(F15&gt;0,"Retenue de CP N","")</f>
        <v/>
      </c>
      <c r="C23" s="23"/>
      <c r="D23" s="134" t="str">
        <f>IF(K14&gt;0,K14,"")</f>
        <v/>
      </c>
      <c r="E23" s="134" t="str">
        <f>IF(K14&gt;0,F23/D23,"")</f>
        <v/>
      </c>
      <c r="F23" s="65" t="str">
        <f>IF(K14&gt;0,F11,"")</f>
        <v/>
      </c>
      <c r="G23" s="25"/>
    </row>
    <row r="24" spans="2:7" x14ac:dyDescent="0.45">
      <c r="B24" s="61" t="str">
        <f>IF(K14&gt;0,"Indemnité de CP N","")</f>
        <v/>
      </c>
      <c r="C24" s="23"/>
      <c r="D24" s="134" t="str">
        <f>IF(K14&gt;0,K14,"")</f>
        <v/>
      </c>
      <c r="E24" s="134" t="str">
        <f>IF(K14&gt;0,F24/D24,"")</f>
        <v/>
      </c>
      <c r="F24" s="65" t="str">
        <f>IF(K14&gt;0,F15,"")</f>
        <v/>
      </c>
      <c r="G24" s="25"/>
    </row>
    <row r="25" spans="2:7" x14ac:dyDescent="0.45">
      <c r="B25" s="54" t="s">
        <v>321</v>
      </c>
      <c r="C25" s="23"/>
      <c r="D25" s="23"/>
      <c r="E25" s="23"/>
      <c r="F25" s="66">
        <f>F20+SUM(F21:F24)</f>
        <v>1249.0460782648825</v>
      </c>
      <c r="G25" s="25"/>
    </row>
    <row r="26" spans="2:7" x14ac:dyDescent="0.45">
      <c r="B26" s="68"/>
      <c r="C26" s="63"/>
      <c r="D26" s="63"/>
      <c r="E26" s="63"/>
      <c r="F26" s="63"/>
      <c r="G26" s="46"/>
    </row>
    <row r="28" spans="2:7" ht="14.65" thickBot="1" x14ac:dyDescent="0.5"/>
    <row r="29" spans="2:7" x14ac:dyDescent="0.45">
      <c r="B29" s="522" t="s">
        <v>297</v>
      </c>
      <c r="C29" s="523"/>
      <c r="D29" s="523"/>
      <c r="E29" s="523"/>
      <c r="F29" s="523"/>
      <c r="G29" s="524"/>
    </row>
    <row r="30" spans="2:7" x14ac:dyDescent="0.45">
      <c r="B30" s="525" t="s">
        <v>300</v>
      </c>
      <c r="C30" s="526"/>
      <c r="D30" s="526" t="s">
        <v>301</v>
      </c>
      <c r="E30" s="526"/>
      <c r="F30" s="526" t="s">
        <v>302</v>
      </c>
      <c r="G30" s="527"/>
    </row>
    <row r="31" spans="2:7" x14ac:dyDescent="0.45">
      <c r="B31" s="525" t="s">
        <v>304</v>
      </c>
      <c r="C31" s="526"/>
      <c r="D31" s="538">
        <f>D4</f>
        <v>25</v>
      </c>
      <c r="E31" s="538"/>
      <c r="F31" s="538">
        <f>F4</f>
        <v>14.56</v>
      </c>
      <c r="G31" s="538"/>
    </row>
    <row r="32" spans="2:7" x14ac:dyDescent="0.45">
      <c r="B32" s="525" t="s">
        <v>305</v>
      </c>
      <c r="C32" s="526"/>
      <c r="D32" s="538">
        <f>D5+K13</f>
        <v>18</v>
      </c>
      <c r="E32" s="538"/>
      <c r="F32" s="538">
        <f>F5+K14</f>
        <v>0</v>
      </c>
      <c r="G32" s="539"/>
    </row>
    <row r="33" spans="2:7" x14ac:dyDescent="0.45">
      <c r="B33" s="525" t="s">
        <v>307</v>
      </c>
      <c r="C33" s="526"/>
      <c r="D33" s="538">
        <f>D6-K13</f>
        <v>7</v>
      </c>
      <c r="E33" s="538"/>
      <c r="F33" s="530">
        <f>F6-K14</f>
        <v>14.56</v>
      </c>
      <c r="G33" s="530"/>
    </row>
    <row r="34" spans="2:7" x14ac:dyDescent="0.45">
      <c r="B34" s="531" t="s">
        <v>244</v>
      </c>
      <c r="C34" s="532"/>
      <c r="D34" s="532"/>
      <c r="E34" s="532"/>
      <c r="F34" s="532"/>
      <c r="G34" s="533"/>
    </row>
    <row r="35" spans="2:7" x14ac:dyDescent="0.45">
      <c r="B35" s="525" t="s">
        <v>310</v>
      </c>
      <c r="C35" s="526"/>
      <c r="D35" s="538">
        <f>D8</f>
        <v>14796.6</v>
      </c>
      <c r="E35" s="538"/>
      <c r="F35" s="538">
        <f>F8</f>
        <v>8631.35</v>
      </c>
      <c r="G35" s="538"/>
    </row>
    <row r="36" spans="2:7" x14ac:dyDescent="0.45">
      <c r="B36" s="541" t="s">
        <v>271</v>
      </c>
      <c r="C36" s="542"/>
      <c r="D36" s="543">
        <f>(D35/D31*D32)*10%</f>
        <v>1065.3552</v>
      </c>
      <c r="E36" s="543"/>
      <c r="F36" s="543">
        <f>(F35/F31*F32)*10%</f>
        <v>0</v>
      </c>
      <c r="G36" s="543"/>
    </row>
    <row r="37" spans="2:7" x14ac:dyDescent="0.45">
      <c r="B37" s="526" t="s">
        <v>322</v>
      </c>
      <c r="C37" s="526"/>
      <c r="D37" s="540" t="str">
        <f>IF(D33=0,"soldé","en cours")</f>
        <v>en cours</v>
      </c>
      <c r="E37" s="540"/>
      <c r="F37" s="495" t="str">
        <f>IF(F33=0,"soldé","en cours")</f>
        <v>en cours</v>
      </c>
      <c r="G37" s="495"/>
    </row>
  </sheetData>
  <mergeCells count="54">
    <mergeCell ref="B37:C37"/>
    <mergeCell ref="D37:E37"/>
    <mergeCell ref="F37:G37"/>
    <mergeCell ref="B34:G34"/>
    <mergeCell ref="B35:C35"/>
    <mergeCell ref="D35:E35"/>
    <mergeCell ref="F35:G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9:G2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B18:G18"/>
    <mergeCell ref="B7:G7"/>
    <mergeCell ref="B8:C8"/>
    <mergeCell ref="D8:E8"/>
    <mergeCell ref="F8:G8"/>
    <mergeCell ref="B9:C9"/>
    <mergeCell ref="D9:E9"/>
    <mergeCell ref="F9:G9"/>
    <mergeCell ref="B5:C5"/>
    <mergeCell ref="D5:E5"/>
    <mergeCell ref="F5:G5"/>
    <mergeCell ref="B6:C6"/>
    <mergeCell ref="D6:E6"/>
    <mergeCell ref="F6:G6"/>
    <mergeCell ref="B2:G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COTISATIONS</vt:lpstr>
      <vt:lpstr>BULLETIN</vt:lpstr>
      <vt:lpstr>Simplifié</vt:lpstr>
      <vt:lpstr>HS</vt:lpstr>
      <vt:lpstr>RGDU</vt:lpstr>
      <vt:lpstr>SAISIES</vt:lpstr>
      <vt:lpstr>MALADIE</vt:lpstr>
      <vt:lpstr>DEPART</vt:lpstr>
      <vt:lpstr>ICP</vt:lpstr>
      <vt:lpstr>AN</vt:lpstr>
      <vt:lpstr>Frais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Sof</dc:creator>
  <cp:lastModifiedBy>Sophie Guizani</cp:lastModifiedBy>
  <cp:lastPrinted>2024-12-04T14:01:21Z</cp:lastPrinted>
  <dcterms:created xsi:type="dcterms:W3CDTF">2023-05-22T12:26:24Z</dcterms:created>
  <dcterms:modified xsi:type="dcterms:W3CDTF">2026-06-17T14:23:39Z</dcterms:modified>
</cp:coreProperties>
</file>